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drawings/drawing4.xml" ContentType="application/vnd.openxmlformats-officedocument.drawing+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drawings/drawing6.xml" ContentType="application/vnd.openxmlformats-officedocument.drawing+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7.xml" ContentType="application/vnd.openxmlformats-officedocument.drawing+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drawings/drawing8.xml" ContentType="application/vnd.openxmlformats-officedocument.drawing+xml"/>
  <Override PartName="/xl/tables/table53.xml" ContentType="application/vnd.openxmlformats-officedocument.spreadsheetml.table+xml"/>
  <Override PartName="/xl/tables/table54.xml" ContentType="application/vnd.openxmlformats-officedocument.spreadsheetml.table+xml"/>
  <Override PartName="/xl/tables/table55.xml" ContentType="application/vnd.openxmlformats-officedocument.spreadsheetml.table+xml"/>
  <Override PartName="/xl/tables/table56.xml" ContentType="application/vnd.openxmlformats-officedocument.spreadsheetml.table+xml"/>
  <Override PartName="/xl/tables/table57.xml" ContentType="application/vnd.openxmlformats-officedocument.spreadsheetml.table+xml"/>
  <Override PartName="/xl/tables/table58.xml" ContentType="application/vnd.openxmlformats-officedocument.spreadsheetml.table+xml"/>
  <Override PartName="/xl/tables/table59.xml" ContentType="application/vnd.openxmlformats-officedocument.spreadsheetml.table+xml"/>
  <Override PartName="/xl/tables/table60.xml" ContentType="application/vnd.openxmlformats-officedocument.spreadsheetml.table+xml"/>
  <Override PartName="/xl/tables/table61.xml" ContentType="application/vnd.openxmlformats-officedocument.spreadsheetml.table+xml"/>
  <Override PartName="/xl/tables/table62.xml" ContentType="application/vnd.openxmlformats-officedocument.spreadsheetml.table+xml"/>
  <Override PartName="/xl/tables/table63.xml" ContentType="application/vnd.openxmlformats-officedocument.spreadsheetml.table+xml"/>
  <Override PartName="/xl/tables/table64.xml" ContentType="application/vnd.openxmlformats-officedocument.spreadsheetml.table+xml"/>
  <Override PartName="/xl/tables/table65.xml" ContentType="application/vnd.openxmlformats-officedocument.spreadsheetml.tab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9.xml" ContentType="application/vnd.openxmlformats-officedocument.drawing+xml"/>
  <Override PartName="/xl/tables/table66.xml" ContentType="application/vnd.openxmlformats-officedocument.spreadsheetml.table+xml"/>
  <Override PartName="/xl/tables/table67.xml" ContentType="application/vnd.openxmlformats-officedocument.spreadsheetml.table+xml"/>
  <Override PartName="/xl/tables/table68.xml" ContentType="application/vnd.openxmlformats-officedocument.spreadsheetml.table+xml"/>
  <Override PartName="/xl/tables/table69.xml" ContentType="application/vnd.openxmlformats-officedocument.spreadsheetml.table+xml"/>
  <Override PartName="/xl/drawings/drawing10.xml" ContentType="application/vnd.openxmlformats-officedocument.drawing+xml"/>
  <Override PartName="/xl/tables/table70.xml" ContentType="application/vnd.openxmlformats-officedocument.spreadsheetml.table+xml"/>
  <Override PartName="/xl/tables/table71.xml" ContentType="application/vnd.openxmlformats-officedocument.spreadsheetml.table+xml"/>
  <Override PartName="/xl/tables/table72.xml" ContentType="application/vnd.openxmlformats-officedocument.spreadsheetml.table+xml"/>
  <Override PartName="/xl/tables/table73.xml" ContentType="application/vnd.openxmlformats-officedocument.spreadsheetml.table+xml"/>
  <Override PartName="/xl/tables/table74.xml" ContentType="application/vnd.openxmlformats-officedocument.spreadsheetml.table+xml"/>
  <Override PartName="/xl/tables/table75.xml" ContentType="application/vnd.openxmlformats-officedocument.spreadsheetml.table+xml"/>
  <Override PartName="/xl/tables/table76.xml" ContentType="application/vnd.openxmlformats-officedocument.spreadsheetml.table+xml"/>
  <Override PartName="/xl/tables/table77.xml" ContentType="application/vnd.openxmlformats-officedocument.spreadsheetml.table+xml"/>
  <Override PartName="/xl/tables/table78.xml" ContentType="application/vnd.openxmlformats-officedocument.spreadsheetml.table+xml"/>
  <Override PartName="/xl/tables/table79.xml" ContentType="application/vnd.openxmlformats-officedocument.spreadsheetml.table+xml"/>
  <Override PartName="/xl/tables/table80.xml" ContentType="application/vnd.openxmlformats-officedocument.spreadsheetml.table+xml"/>
  <Override PartName="/xl/tables/table81.xml" ContentType="application/vnd.openxmlformats-officedocument.spreadsheetml.table+xml"/>
  <Override PartName="/xl/tables/table82.xml" ContentType="application/vnd.openxmlformats-officedocument.spreadsheetml.tab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1.xml" ContentType="application/vnd.openxmlformats-officedocument.drawing+xml"/>
  <Override PartName="/xl/tables/table83.xml" ContentType="application/vnd.openxmlformats-officedocument.spreadsheetml.table+xml"/>
  <Override PartName="/xl/tables/table84.xml" ContentType="application/vnd.openxmlformats-officedocument.spreadsheetml.table+xml"/>
  <Override PartName="/xl/tables/table85.xml" ContentType="application/vnd.openxmlformats-officedocument.spreadsheetml.table+xml"/>
  <Override PartName="/xl/tables/table86.xml" ContentType="application/vnd.openxmlformats-officedocument.spreadsheetml.table+xml"/>
  <Override PartName="/xl/drawings/drawing12.xml" ContentType="application/vnd.openxmlformats-officedocument.drawing+xml"/>
  <Override PartName="/xl/tables/table87.xml" ContentType="application/vnd.openxmlformats-officedocument.spreadsheetml.table+xml"/>
  <Override PartName="/xl/tables/table88.xml" ContentType="application/vnd.openxmlformats-officedocument.spreadsheetml.table+xml"/>
  <Override PartName="/xl/tables/table89.xml" ContentType="application/vnd.openxmlformats-officedocument.spreadsheetml.table+xml"/>
  <Override PartName="/xl/tables/table90.xml" ContentType="application/vnd.openxmlformats-officedocument.spreadsheetml.table+xml"/>
  <Override PartName="/xl/tables/table91.xml" ContentType="application/vnd.openxmlformats-officedocument.spreadsheetml.table+xml"/>
  <Override PartName="/xl/tables/table92.xml" ContentType="application/vnd.openxmlformats-officedocument.spreadsheetml.table+xml"/>
  <Override PartName="/xl/tables/table93.xml" ContentType="application/vnd.openxmlformats-officedocument.spreadsheetml.table+xml"/>
  <Override PartName="/xl/tables/table94.xml" ContentType="application/vnd.openxmlformats-officedocument.spreadsheetml.table+xml"/>
  <Override PartName="/xl/tables/table95.xml" ContentType="application/vnd.openxmlformats-officedocument.spreadsheetml.table+xml"/>
  <Override PartName="/xl/tables/table96.xml" ContentType="application/vnd.openxmlformats-officedocument.spreadsheetml.table+xml"/>
  <Override PartName="/xl/tables/table97.xml" ContentType="application/vnd.openxmlformats-officedocument.spreadsheetml.table+xml"/>
  <Override PartName="/xl/tables/table98.xml" ContentType="application/vnd.openxmlformats-officedocument.spreadsheetml.table+xml"/>
  <Override PartName="/xl/tables/table99.xml" ContentType="application/vnd.openxmlformats-officedocument.spreadsheetml.tab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3.xml" ContentType="application/vnd.openxmlformats-officedocument.drawing+xml"/>
  <Override PartName="/xl/tables/table100.xml" ContentType="application/vnd.openxmlformats-officedocument.spreadsheetml.table+xml"/>
  <Override PartName="/xl/tables/table101.xml" ContentType="application/vnd.openxmlformats-officedocument.spreadsheetml.table+xml"/>
  <Override PartName="/xl/tables/table102.xml" ContentType="application/vnd.openxmlformats-officedocument.spreadsheetml.table+xml"/>
  <Override PartName="/xl/tables/table103.xml" ContentType="application/vnd.openxmlformats-officedocument.spreadsheetml.table+xml"/>
  <Override PartName="/xl/drawings/drawing14.xml" ContentType="application/vnd.openxmlformats-officedocument.drawing+xml"/>
  <Override PartName="/xl/tables/table104.xml" ContentType="application/vnd.openxmlformats-officedocument.spreadsheetml.table+xml"/>
  <Override PartName="/xl/tables/table105.xml" ContentType="application/vnd.openxmlformats-officedocument.spreadsheetml.table+xml"/>
  <Override PartName="/xl/tables/table106.xml" ContentType="application/vnd.openxmlformats-officedocument.spreadsheetml.table+xml"/>
  <Override PartName="/xl/tables/table107.xml" ContentType="application/vnd.openxmlformats-officedocument.spreadsheetml.table+xml"/>
  <Override PartName="/xl/tables/table108.xml" ContentType="application/vnd.openxmlformats-officedocument.spreadsheetml.table+xml"/>
  <Override PartName="/xl/tables/table109.xml" ContentType="application/vnd.openxmlformats-officedocument.spreadsheetml.table+xml"/>
  <Override PartName="/xl/tables/table110.xml" ContentType="application/vnd.openxmlformats-officedocument.spreadsheetml.table+xml"/>
  <Override PartName="/xl/tables/table111.xml" ContentType="application/vnd.openxmlformats-officedocument.spreadsheetml.table+xml"/>
  <Override PartName="/xl/tables/table112.xml" ContentType="application/vnd.openxmlformats-officedocument.spreadsheetml.table+xml"/>
  <Override PartName="/xl/tables/table113.xml" ContentType="application/vnd.openxmlformats-officedocument.spreadsheetml.table+xml"/>
  <Override PartName="/xl/tables/table114.xml" ContentType="application/vnd.openxmlformats-officedocument.spreadsheetml.table+xml"/>
  <Override PartName="/xl/tables/table115.xml" ContentType="application/vnd.openxmlformats-officedocument.spreadsheetml.table+xml"/>
  <Override PartName="/xl/tables/table116.xml" ContentType="application/vnd.openxmlformats-officedocument.spreadsheetml.tab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15.xml" ContentType="application/vnd.openxmlformats-officedocument.drawing+xml"/>
  <Override PartName="/xl/tables/table117.xml" ContentType="application/vnd.openxmlformats-officedocument.spreadsheetml.table+xml"/>
  <Override PartName="/xl/tables/table118.xml" ContentType="application/vnd.openxmlformats-officedocument.spreadsheetml.table+xml"/>
  <Override PartName="/xl/tables/table119.xml" ContentType="application/vnd.openxmlformats-officedocument.spreadsheetml.table+xml"/>
  <Override PartName="/xl/tables/table120.xml" ContentType="application/vnd.openxmlformats-officedocument.spreadsheetml.table+xml"/>
  <Override PartName="/xl/drawings/drawing16.xml" ContentType="application/vnd.openxmlformats-officedocument.drawing+xml"/>
  <Override PartName="/xl/tables/table121.xml" ContentType="application/vnd.openxmlformats-officedocument.spreadsheetml.table+xml"/>
  <Override PartName="/xl/tables/table122.xml" ContentType="application/vnd.openxmlformats-officedocument.spreadsheetml.table+xml"/>
  <Override PartName="/xl/tables/table123.xml" ContentType="application/vnd.openxmlformats-officedocument.spreadsheetml.table+xml"/>
  <Override PartName="/xl/tables/table124.xml" ContentType="application/vnd.openxmlformats-officedocument.spreadsheetml.table+xml"/>
  <Override PartName="/xl/tables/table125.xml" ContentType="application/vnd.openxmlformats-officedocument.spreadsheetml.table+xml"/>
  <Override PartName="/xl/tables/table126.xml" ContentType="application/vnd.openxmlformats-officedocument.spreadsheetml.table+xml"/>
  <Override PartName="/xl/tables/table127.xml" ContentType="application/vnd.openxmlformats-officedocument.spreadsheetml.table+xml"/>
  <Override PartName="/xl/tables/table128.xml" ContentType="application/vnd.openxmlformats-officedocument.spreadsheetml.table+xml"/>
  <Override PartName="/xl/tables/table129.xml" ContentType="application/vnd.openxmlformats-officedocument.spreadsheetml.table+xml"/>
  <Override PartName="/xl/tables/table130.xml" ContentType="application/vnd.openxmlformats-officedocument.spreadsheetml.table+xml"/>
  <Override PartName="/xl/tables/table131.xml" ContentType="application/vnd.openxmlformats-officedocument.spreadsheetml.table+xml"/>
  <Override PartName="/xl/tables/table132.xml" ContentType="application/vnd.openxmlformats-officedocument.spreadsheetml.table+xml"/>
  <Override PartName="/xl/tables/table133.xml" ContentType="application/vnd.openxmlformats-officedocument.spreadsheetml.tab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7.xml" ContentType="application/vnd.openxmlformats-officedocument.drawing+xml"/>
  <Override PartName="/xl/tables/table134.xml" ContentType="application/vnd.openxmlformats-officedocument.spreadsheetml.table+xml"/>
  <Override PartName="/xl/tables/table135.xml" ContentType="application/vnd.openxmlformats-officedocument.spreadsheetml.table+xml"/>
  <Override PartName="/xl/tables/table136.xml" ContentType="application/vnd.openxmlformats-officedocument.spreadsheetml.table+xml"/>
  <Override PartName="/xl/tables/table137.xml" ContentType="application/vnd.openxmlformats-officedocument.spreadsheetml.table+xml"/>
  <Override PartName="/xl/drawings/drawing18.xml" ContentType="application/vnd.openxmlformats-officedocument.drawing+xml"/>
  <Override PartName="/xl/tables/table138.xml" ContentType="application/vnd.openxmlformats-officedocument.spreadsheetml.table+xml"/>
  <Override PartName="/xl/tables/table139.xml" ContentType="application/vnd.openxmlformats-officedocument.spreadsheetml.table+xml"/>
  <Override PartName="/xl/tables/table140.xml" ContentType="application/vnd.openxmlformats-officedocument.spreadsheetml.table+xml"/>
  <Override PartName="/xl/tables/table141.xml" ContentType="application/vnd.openxmlformats-officedocument.spreadsheetml.table+xml"/>
  <Override PartName="/xl/tables/table142.xml" ContentType="application/vnd.openxmlformats-officedocument.spreadsheetml.table+xml"/>
  <Override PartName="/xl/tables/table143.xml" ContentType="application/vnd.openxmlformats-officedocument.spreadsheetml.table+xml"/>
  <Override PartName="/xl/tables/table144.xml" ContentType="application/vnd.openxmlformats-officedocument.spreadsheetml.table+xml"/>
  <Override PartName="/xl/tables/table145.xml" ContentType="application/vnd.openxmlformats-officedocument.spreadsheetml.table+xml"/>
  <Override PartName="/xl/tables/table146.xml" ContentType="application/vnd.openxmlformats-officedocument.spreadsheetml.table+xml"/>
  <Override PartName="/xl/tables/table147.xml" ContentType="application/vnd.openxmlformats-officedocument.spreadsheetml.table+xml"/>
  <Override PartName="/xl/tables/table148.xml" ContentType="application/vnd.openxmlformats-officedocument.spreadsheetml.table+xml"/>
  <Override PartName="/xl/tables/table149.xml" ContentType="application/vnd.openxmlformats-officedocument.spreadsheetml.table+xml"/>
  <Override PartName="/xl/tables/table150.xml" ContentType="application/vnd.openxmlformats-officedocument.spreadsheetml.tab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9.xml" ContentType="application/vnd.openxmlformats-officedocument.drawing+xml"/>
  <Override PartName="/xl/tables/table151.xml" ContentType="application/vnd.openxmlformats-officedocument.spreadsheetml.table+xml"/>
  <Override PartName="/xl/tables/table152.xml" ContentType="application/vnd.openxmlformats-officedocument.spreadsheetml.table+xml"/>
  <Override PartName="/xl/tables/table153.xml" ContentType="application/vnd.openxmlformats-officedocument.spreadsheetml.table+xml"/>
  <Override PartName="/xl/tables/table154.xml" ContentType="application/vnd.openxmlformats-officedocument.spreadsheetml.table+xml"/>
  <Override PartName="/xl/drawings/drawing20.xml" ContentType="application/vnd.openxmlformats-officedocument.drawing+xml"/>
  <Override PartName="/xl/tables/table155.xml" ContentType="application/vnd.openxmlformats-officedocument.spreadsheetml.table+xml"/>
  <Override PartName="/xl/tables/table156.xml" ContentType="application/vnd.openxmlformats-officedocument.spreadsheetml.table+xml"/>
  <Override PartName="/xl/tables/table157.xml" ContentType="application/vnd.openxmlformats-officedocument.spreadsheetml.table+xml"/>
  <Override PartName="/xl/tables/table158.xml" ContentType="application/vnd.openxmlformats-officedocument.spreadsheetml.table+xml"/>
  <Override PartName="/xl/tables/table159.xml" ContentType="application/vnd.openxmlformats-officedocument.spreadsheetml.table+xml"/>
  <Override PartName="/xl/tables/table160.xml" ContentType="application/vnd.openxmlformats-officedocument.spreadsheetml.table+xml"/>
  <Override PartName="/xl/tables/table161.xml" ContentType="application/vnd.openxmlformats-officedocument.spreadsheetml.table+xml"/>
  <Override PartName="/xl/tables/table162.xml" ContentType="application/vnd.openxmlformats-officedocument.spreadsheetml.table+xml"/>
  <Override PartName="/xl/tables/table163.xml" ContentType="application/vnd.openxmlformats-officedocument.spreadsheetml.table+xml"/>
  <Override PartName="/xl/tables/table164.xml" ContentType="application/vnd.openxmlformats-officedocument.spreadsheetml.table+xml"/>
  <Override PartName="/xl/tables/table165.xml" ContentType="application/vnd.openxmlformats-officedocument.spreadsheetml.table+xml"/>
  <Override PartName="/xl/tables/table166.xml" ContentType="application/vnd.openxmlformats-officedocument.spreadsheetml.table+xml"/>
  <Override PartName="/xl/tables/table167.xml" ContentType="application/vnd.openxmlformats-officedocument.spreadsheetml.tab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1.xml" ContentType="application/vnd.openxmlformats-officedocument.drawing+xml"/>
  <Override PartName="/xl/tables/table168.xml" ContentType="application/vnd.openxmlformats-officedocument.spreadsheetml.table+xml"/>
  <Override PartName="/xl/tables/table169.xml" ContentType="application/vnd.openxmlformats-officedocument.spreadsheetml.table+xml"/>
  <Override PartName="/xl/tables/table170.xml" ContentType="application/vnd.openxmlformats-officedocument.spreadsheetml.table+xml"/>
  <Override PartName="/xl/tables/table171.xml" ContentType="application/vnd.openxmlformats-officedocument.spreadsheetml.table+xml"/>
  <Override PartName="/xl/tables/table172.xml" ContentType="application/vnd.openxmlformats-officedocument.spreadsheetml.table+xml"/>
  <Override PartName="/xl/tables/table173.xml" ContentType="application/vnd.openxmlformats-officedocument.spreadsheetml.table+xml"/>
  <Override PartName="/xl/tables/table174.xml" ContentType="application/vnd.openxmlformats-officedocument.spreadsheetml.table+xml"/>
  <Override PartName="/xl/tables/table175.xml" ContentType="application/vnd.openxmlformats-officedocument.spreadsheetml.table+xml"/>
  <Override PartName="/xl/tables/table176.xml" ContentType="application/vnd.openxmlformats-officedocument.spreadsheetml.table+xml"/>
  <Override PartName="/xl/tables/table177.xml" ContentType="application/vnd.openxmlformats-officedocument.spreadsheetml.table+xml"/>
  <Override PartName="/xl/tables/table178.xml" ContentType="application/vnd.openxmlformats-officedocument.spreadsheetml.table+xml"/>
  <Override PartName="/xl/tables/table179.xml" ContentType="application/vnd.openxmlformats-officedocument.spreadsheetml.table+xml"/>
  <Override PartName="/xl/tables/table180.xml" ContentType="application/vnd.openxmlformats-officedocument.spreadsheetml.tab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2.xml" ContentType="application/vnd.openxmlformats-officedocument.drawing+xml"/>
  <Override PartName="/xl/tables/table181.xml" ContentType="application/vnd.openxmlformats-officedocument.spreadsheetml.table+xml"/>
  <Override PartName="/xl/tables/table182.xml" ContentType="application/vnd.openxmlformats-officedocument.spreadsheetml.table+xml"/>
  <Override PartName="/xl/tables/table183.xml" ContentType="application/vnd.openxmlformats-officedocument.spreadsheetml.table+xml"/>
  <Override PartName="/xl/tables/table184.xml" ContentType="application/vnd.openxmlformats-officedocument.spreadsheetml.table+xml"/>
  <Override PartName="/xl/drawings/drawing23.xml" ContentType="application/vnd.openxmlformats-officedocument.drawing+xml"/>
  <Override PartName="/xl/tables/table185.xml" ContentType="application/vnd.openxmlformats-officedocument.spreadsheetml.table+xml"/>
  <Override PartName="/xl/tables/table186.xml" ContentType="application/vnd.openxmlformats-officedocument.spreadsheetml.table+xml"/>
  <Override PartName="/xl/tables/table187.xml" ContentType="application/vnd.openxmlformats-officedocument.spreadsheetml.table+xml"/>
  <Override PartName="/xl/tables/table188.xml" ContentType="application/vnd.openxmlformats-officedocument.spreadsheetml.table+xml"/>
  <Override PartName="/xl/tables/table189.xml" ContentType="application/vnd.openxmlformats-officedocument.spreadsheetml.table+xml"/>
  <Override PartName="/xl/tables/table190.xml" ContentType="application/vnd.openxmlformats-officedocument.spreadsheetml.table+xml"/>
  <Override PartName="/xl/tables/table191.xml" ContentType="application/vnd.openxmlformats-officedocument.spreadsheetml.table+xml"/>
  <Override PartName="/xl/tables/table192.xml" ContentType="application/vnd.openxmlformats-officedocument.spreadsheetml.table+xml"/>
  <Override PartName="/xl/tables/table193.xml" ContentType="application/vnd.openxmlformats-officedocument.spreadsheetml.table+xml"/>
  <Override PartName="/xl/tables/table194.xml" ContentType="application/vnd.openxmlformats-officedocument.spreadsheetml.table+xml"/>
  <Override PartName="/xl/tables/table195.xml" ContentType="application/vnd.openxmlformats-officedocument.spreadsheetml.table+xml"/>
  <Override PartName="/xl/tables/table196.xml" ContentType="application/vnd.openxmlformats-officedocument.spreadsheetml.table+xml"/>
  <Override PartName="/xl/tables/table197.xml" ContentType="application/vnd.openxmlformats-officedocument.spreadsheetml.tab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24.xml" ContentType="application/vnd.openxmlformats-officedocument.drawing+xml"/>
  <Override PartName="/xl/tables/table198.xml" ContentType="application/vnd.openxmlformats-officedocument.spreadsheetml.table+xml"/>
  <Override PartName="/xl/tables/table199.xml" ContentType="application/vnd.openxmlformats-officedocument.spreadsheetml.table+xml"/>
  <Override PartName="/xl/tables/table200.xml" ContentType="application/vnd.openxmlformats-officedocument.spreadsheetml.table+xml"/>
  <Override PartName="/xl/tables/table201.xml" ContentType="application/vnd.openxmlformats-officedocument.spreadsheetml.table+xml"/>
  <Override PartName="/xl/drawings/drawing25.xml" ContentType="application/vnd.openxmlformats-officedocument.drawing+xml"/>
  <Override PartName="/xl/tables/table202.xml" ContentType="application/vnd.openxmlformats-officedocument.spreadsheetml.table+xml"/>
  <Override PartName="/xl/tables/table203.xml" ContentType="application/vnd.openxmlformats-officedocument.spreadsheetml.table+xml"/>
  <Override PartName="/xl/tables/table204.xml" ContentType="application/vnd.openxmlformats-officedocument.spreadsheetml.table+xml"/>
  <Override PartName="/xl/tables/table205.xml" ContentType="application/vnd.openxmlformats-officedocument.spreadsheetml.table+xml"/>
  <Override PartName="/xl/tables/table206.xml" ContentType="application/vnd.openxmlformats-officedocument.spreadsheetml.table+xml"/>
  <Override PartName="/xl/tables/table207.xml" ContentType="application/vnd.openxmlformats-officedocument.spreadsheetml.table+xml"/>
  <Override PartName="/xl/tables/table208.xml" ContentType="application/vnd.openxmlformats-officedocument.spreadsheetml.table+xml"/>
  <Override PartName="/xl/tables/table209.xml" ContentType="application/vnd.openxmlformats-officedocument.spreadsheetml.table+xml"/>
  <Override PartName="/xl/tables/table210.xml" ContentType="application/vnd.openxmlformats-officedocument.spreadsheetml.table+xml"/>
  <Override PartName="/xl/tables/table211.xml" ContentType="application/vnd.openxmlformats-officedocument.spreadsheetml.table+xml"/>
  <Override PartName="/xl/tables/table212.xml" ContentType="application/vnd.openxmlformats-officedocument.spreadsheetml.table+xml"/>
  <Override PartName="/xl/tables/table213.xml" ContentType="application/vnd.openxmlformats-officedocument.spreadsheetml.table+xml"/>
  <Override PartName="/xl/tables/table214.xml" ContentType="application/vnd.openxmlformats-officedocument.spreadsheetml.tab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26.xml" ContentType="application/vnd.openxmlformats-officedocument.drawing+xml"/>
  <Override PartName="/xl/tables/table215.xml" ContentType="application/vnd.openxmlformats-officedocument.spreadsheetml.table+xml"/>
  <Override PartName="/xl/tables/table216.xml" ContentType="application/vnd.openxmlformats-officedocument.spreadsheetml.table+xml"/>
  <Override PartName="/xl/tables/table217.xml" ContentType="application/vnd.openxmlformats-officedocument.spreadsheetml.table+xml"/>
  <Override PartName="/xl/tables/table218.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d.docs.live.net/0d7447612bf37e22/Desktop/"/>
    </mc:Choice>
  </mc:AlternateContent>
  <xr:revisionPtr revIDLastSave="554" documentId="8_{4FD71255-DD71-4CC0-BFAE-5F63DB6B5BD9}" xr6:coauthVersionLast="47" xr6:coauthVersionMax="47" xr10:uidLastSave="{D505ED26-3EAA-4FEB-BE59-85EA09117A80}"/>
  <bookViews>
    <workbookView xWindow="-103" yWindow="-103" windowWidth="23657" windowHeight="15120" activeTab="1" xr2:uid="{586B7750-5929-4BC4-A723-D0D70046EB58}"/>
  </bookViews>
  <sheets>
    <sheet name="Financial Literacy" sheetId="4" r:id="rId1"/>
    <sheet name="Budget Example" sheetId="2" r:id="rId2"/>
    <sheet name=" Debt Repayment Example" sheetId="31" r:id="rId3"/>
    <sheet name="January Budget" sheetId="32" r:id="rId4"/>
    <sheet name="January Debt Repayment" sheetId="33" r:id="rId5"/>
    <sheet name="February Budget" sheetId="36" r:id="rId6"/>
    <sheet name="Februay Debt Repayment" sheetId="39" r:id="rId7"/>
    <sheet name="March Budget" sheetId="38" r:id="rId8"/>
    <sheet name="March Debt Repayment" sheetId="40" r:id="rId9"/>
    <sheet name="April Budget" sheetId="34" r:id="rId10"/>
    <sheet name="April Debt Repayment" sheetId="41" r:id="rId11"/>
    <sheet name="May Budget" sheetId="37" r:id="rId12"/>
    <sheet name="May Debt Repayment" sheetId="42" r:id="rId13"/>
    <sheet name="June Budget" sheetId="35" r:id="rId14"/>
    <sheet name="June Debt Repayment" sheetId="43" r:id="rId15"/>
    <sheet name="July Budget" sheetId="44" r:id="rId16"/>
    <sheet name="July Debt Repayment" sheetId="50" r:id="rId17"/>
    <sheet name="August Budget" sheetId="45" r:id="rId18"/>
    <sheet name="August Debt Repayment" sheetId="51" r:id="rId19"/>
    <sheet name="September Budget" sheetId="46" r:id="rId20"/>
    <sheet name="October Budget" sheetId="47" r:id="rId21"/>
    <sheet name="October Debt Repayment" sheetId="52" r:id="rId22"/>
    <sheet name="November Budget" sheetId="48" r:id="rId23"/>
    <sheet name="November Debt Repayment " sheetId="53" r:id="rId24"/>
    <sheet name="December Budget" sheetId="49" r:id="rId25"/>
    <sheet name="December Debt Repayment" sheetId="54" r:id="rId26"/>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 i="31" l="1"/>
  <c r="C4" i="31"/>
  <c r="F46" i="31"/>
  <c r="F46" i="54"/>
  <c r="F45" i="54"/>
  <c r="D46" i="54"/>
  <c r="D45" i="54"/>
  <c r="D6" i="54"/>
  <c r="D5" i="54"/>
  <c r="D4" i="54"/>
  <c r="C5" i="54"/>
  <c r="C6" i="54"/>
  <c r="C4" i="54"/>
  <c r="F46" i="53"/>
  <c r="F45" i="53"/>
  <c r="D46" i="53"/>
  <c r="D45" i="53"/>
  <c r="D5" i="53"/>
  <c r="D6" i="53"/>
  <c r="D4" i="53"/>
  <c r="C5" i="53"/>
  <c r="C6" i="53"/>
  <c r="C4" i="53"/>
  <c r="F46" i="52"/>
  <c r="F45" i="52"/>
  <c r="D46" i="52"/>
  <c r="D45" i="52"/>
  <c r="D5" i="52"/>
  <c r="D6" i="52"/>
  <c r="D4" i="52"/>
  <c r="C5" i="52"/>
  <c r="C6" i="52"/>
  <c r="C4" i="52"/>
  <c r="D46" i="50"/>
  <c r="F45" i="51"/>
  <c r="F46" i="51"/>
  <c r="D46" i="51"/>
  <c r="D45" i="51"/>
  <c r="D5" i="51"/>
  <c r="D6" i="51"/>
  <c r="D4" i="51"/>
  <c r="C5" i="51"/>
  <c r="C6" i="51"/>
  <c r="C4" i="51"/>
  <c r="F46" i="50"/>
  <c r="F45" i="50"/>
  <c r="D45" i="50"/>
  <c r="D5" i="50"/>
  <c r="D6" i="50"/>
  <c r="D4" i="50"/>
  <c r="C5" i="50"/>
  <c r="C6" i="50"/>
  <c r="C4" i="50"/>
  <c r="I98" i="49"/>
  <c r="I96" i="49"/>
  <c r="I100" i="49" s="1"/>
  <c r="C95" i="49"/>
  <c r="B95" i="49"/>
  <c r="I94" i="49"/>
  <c r="D94" i="49"/>
  <c r="D93" i="49"/>
  <c r="H92" i="49"/>
  <c r="G92" i="49"/>
  <c r="D92" i="49"/>
  <c r="I91" i="49"/>
  <c r="D91" i="49"/>
  <c r="I90" i="49"/>
  <c r="D90" i="49"/>
  <c r="I89" i="49"/>
  <c r="D89" i="49"/>
  <c r="I88" i="49"/>
  <c r="I92" i="49" s="1"/>
  <c r="D88" i="49"/>
  <c r="D95" i="49" s="1"/>
  <c r="C84" i="49"/>
  <c r="B84" i="49"/>
  <c r="D83" i="49"/>
  <c r="H82" i="49"/>
  <c r="G82" i="49"/>
  <c r="D82" i="49"/>
  <c r="I81" i="49"/>
  <c r="D81" i="49"/>
  <c r="D84" i="49" s="1"/>
  <c r="I80" i="49"/>
  <c r="D80" i="49"/>
  <c r="I79" i="49"/>
  <c r="I82" i="49" s="1"/>
  <c r="D79" i="49"/>
  <c r="H75" i="49"/>
  <c r="G75" i="49"/>
  <c r="C75" i="49"/>
  <c r="B75" i="49"/>
  <c r="I74" i="49"/>
  <c r="D74" i="49"/>
  <c r="I73" i="49"/>
  <c r="D73" i="49"/>
  <c r="I72" i="49"/>
  <c r="I75" i="49" s="1"/>
  <c r="D72" i="49"/>
  <c r="D75" i="49" s="1"/>
  <c r="H68" i="49"/>
  <c r="G68" i="49"/>
  <c r="C68" i="49"/>
  <c r="I67" i="49"/>
  <c r="D67" i="49"/>
  <c r="I66" i="49"/>
  <c r="D66" i="49"/>
  <c r="I65" i="49"/>
  <c r="D65" i="49"/>
  <c r="I64" i="49"/>
  <c r="I68" i="49" s="1"/>
  <c r="D64" i="49"/>
  <c r="D68" i="49" s="1"/>
  <c r="C60" i="49"/>
  <c r="B60" i="49"/>
  <c r="J59" i="49"/>
  <c r="H59" i="49"/>
  <c r="G59" i="49"/>
  <c r="D59" i="49"/>
  <c r="I58" i="49"/>
  <c r="D58" i="49"/>
  <c r="I57" i="49"/>
  <c r="D57" i="49"/>
  <c r="I56" i="49"/>
  <c r="D56" i="49"/>
  <c r="I55" i="49"/>
  <c r="D55" i="49"/>
  <c r="I54" i="49"/>
  <c r="D54" i="49"/>
  <c r="D60" i="49" s="1"/>
  <c r="I53" i="49"/>
  <c r="I59" i="49" s="1"/>
  <c r="D53" i="49"/>
  <c r="D49" i="49"/>
  <c r="C49" i="49"/>
  <c r="B49" i="49"/>
  <c r="H48" i="49"/>
  <c r="G48" i="49"/>
  <c r="I47" i="49"/>
  <c r="I46" i="49"/>
  <c r="I45" i="49"/>
  <c r="I44" i="49"/>
  <c r="I43" i="49"/>
  <c r="I42" i="49"/>
  <c r="I41" i="49"/>
  <c r="I40" i="49"/>
  <c r="I39" i="49"/>
  <c r="I48" i="49" s="1"/>
  <c r="B34" i="49"/>
  <c r="I102" i="49" s="1"/>
  <c r="L8" i="49"/>
  <c r="O7" i="49"/>
  <c r="O8" i="49" s="1"/>
  <c r="E6" i="49"/>
  <c r="B6" i="49"/>
  <c r="I98" i="48"/>
  <c r="I96" i="48"/>
  <c r="I100" i="48" s="1"/>
  <c r="C95" i="48"/>
  <c r="B95" i="48"/>
  <c r="I94" i="48"/>
  <c r="D94" i="48"/>
  <c r="D93" i="48"/>
  <c r="H92" i="48"/>
  <c r="G92" i="48"/>
  <c r="D92" i="48"/>
  <c r="I91" i="48"/>
  <c r="D91" i="48"/>
  <c r="I90" i="48"/>
  <c r="D90" i="48"/>
  <c r="I89" i="48"/>
  <c r="D89" i="48"/>
  <c r="I88" i="48"/>
  <c r="I92" i="48" s="1"/>
  <c r="D88" i="48"/>
  <c r="D95" i="48" s="1"/>
  <c r="C84" i="48"/>
  <c r="B84" i="48"/>
  <c r="D83" i="48"/>
  <c r="H82" i="48"/>
  <c r="G82" i="48"/>
  <c r="D82" i="48"/>
  <c r="I81" i="48"/>
  <c r="D81" i="48"/>
  <c r="D84" i="48" s="1"/>
  <c r="I80" i="48"/>
  <c r="D80" i="48"/>
  <c r="I79" i="48"/>
  <c r="I82" i="48" s="1"/>
  <c r="D79" i="48"/>
  <c r="H75" i="48"/>
  <c r="G75" i="48"/>
  <c r="C75" i="48"/>
  <c r="B75" i="48"/>
  <c r="I74" i="48"/>
  <c r="D74" i="48"/>
  <c r="I73" i="48"/>
  <c r="D73" i="48"/>
  <c r="I72" i="48"/>
  <c r="I75" i="48" s="1"/>
  <c r="D72" i="48"/>
  <c r="D75" i="48" s="1"/>
  <c r="H68" i="48"/>
  <c r="G68" i="48"/>
  <c r="C68" i="48"/>
  <c r="I67" i="48"/>
  <c r="D67" i="48"/>
  <c r="I66" i="48"/>
  <c r="D66" i="48"/>
  <c r="I65" i="48"/>
  <c r="D65" i="48"/>
  <c r="I64" i="48"/>
  <c r="I68" i="48" s="1"/>
  <c r="D64" i="48"/>
  <c r="D68" i="48" s="1"/>
  <c r="C60" i="48"/>
  <c r="B60" i="48"/>
  <c r="J59" i="48"/>
  <c r="H59" i="48"/>
  <c r="G59" i="48"/>
  <c r="D59" i="48"/>
  <c r="I58" i="48"/>
  <c r="D58" i="48"/>
  <c r="I57" i="48"/>
  <c r="D57" i="48"/>
  <c r="I56" i="48"/>
  <c r="D56" i="48"/>
  <c r="I55" i="48"/>
  <c r="D55" i="48"/>
  <c r="I54" i="48"/>
  <c r="D54" i="48"/>
  <c r="D60" i="48" s="1"/>
  <c r="I53" i="48"/>
  <c r="I59" i="48" s="1"/>
  <c r="D53" i="48"/>
  <c r="D49" i="48"/>
  <c r="C49" i="48"/>
  <c r="B49" i="48"/>
  <c r="H48" i="48"/>
  <c r="G48" i="48"/>
  <c r="I47" i="48"/>
  <c r="I46" i="48"/>
  <c r="I45" i="48"/>
  <c r="I44" i="48"/>
  <c r="I43" i="48"/>
  <c r="I42" i="48"/>
  <c r="I41" i="48"/>
  <c r="I40" i="48"/>
  <c r="I39" i="48"/>
  <c r="I48" i="48" s="1"/>
  <c r="B34" i="48"/>
  <c r="I102" i="48" s="1"/>
  <c r="L8" i="48"/>
  <c r="O7" i="48"/>
  <c r="O8" i="48" s="1"/>
  <c r="E6" i="48"/>
  <c r="B6" i="48"/>
  <c r="I98" i="47"/>
  <c r="I96" i="47"/>
  <c r="I100" i="47" s="1"/>
  <c r="C95" i="47"/>
  <c r="B95" i="47"/>
  <c r="I94" i="47"/>
  <c r="D94" i="47"/>
  <c r="D93" i="47"/>
  <c r="H92" i="47"/>
  <c r="G92" i="47"/>
  <c r="D92" i="47"/>
  <c r="I91" i="47"/>
  <c r="D91" i="47"/>
  <c r="I90" i="47"/>
  <c r="D90" i="47"/>
  <c r="I89" i="47"/>
  <c r="D89" i="47"/>
  <c r="I88" i="47"/>
  <c r="I92" i="47" s="1"/>
  <c r="D88" i="47"/>
  <c r="D95" i="47" s="1"/>
  <c r="C84" i="47"/>
  <c r="B84" i="47"/>
  <c r="D83" i="47"/>
  <c r="H82" i="47"/>
  <c r="G82" i="47"/>
  <c r="D82" i="47"/>
  <c r="I81" i="47"/>
  <c r="D81" i="47"/>
  <c r="D84" i="47" s="1"/>
  <c r="I80" i="47"/>
  <c r="D80" i="47"/>
  <c r="I79" i="47"/>
  <c r="I82" i="47" s="1"/>
  <c r="D79" i="47"/>
  <c r="H75" i="47"/>
  <c r="G75" i="47"/>
  <c r="C75" i="47"/>
  <c r="B75" i="47"/>
  <c r="I74" i="47"/>
  <c r="D74" i="47"/>
  <c r="I73" i="47"/>
  <c r="D73" i="47"/>
  <c r="I72" i="47"/>
  <c r="I75" i="47" s="1"/>
  <c r="D72" i="47"/>
  <c r="D75" i="47" s="1"/>
  <c r="H68" i="47"/>
  <c r="G68" i="47"/>
  <c r="C68" i="47"/>
  <c r="I67" i="47"/>
  <c r="D67" i="47"/>
  <c r="I66" i="47"/>
  <c r="D66" i="47"/>
  <c r="I65" i="47"/>
  <c r="D65" i="47"/>
  <c r="I64" i="47"/>
  <c r="I68" i="47" s="1"/>
  <c r="D64" i="47"/>
  <c r="D68" i="47" s="1"/>
  <c r="C60" i="47"/>
  <c r="B60" i="47"/>
  <c r="J59" i="47"/>
  <c r="H59" i="47"/>
  <c r="G59" i="47"/>
  <c r="D59" i="47"/>
  <c r="I58" i="47"/>
  <c r="D58" i="47"/>
  <c r="I57" i="47"/>
  <c r="D57" i="47"/>
  <c r="I56" i="47"/>
  <c r="D56" i="47"/>
  <c r="I55" i="47"/>
  <c r="D55" i="47"/>
  <c r="I54" i="47"/>
  <c r="D54" i="47"/>
  <c r="D60" i="47" s="1"/>
  <c r="I53" i="47"/>
  <c r="I59" i="47" s="1"/>
  <c r="D53" i="47"/>
  <c r="D49" i="47"/>
  <c r="C49" i="47"/>
  <c r="B49" i="47"/>
  <c r="H48" i="47"/>
  <c r="G48" i="47"/>
  <c r="I47" i="47"/>
  <c r="I46" i="47"/>
  <c r="I45" i="47"/>
  <c r="I44" i="47"/>
  <c r="I43" i="47"/>
  <c r="I42" i="47"/>
  <c r="I41" i="47"/>
  <c r="I40" i="47"/>
  <c r="I39" i="47"/>
  <c r="I48" i="47" s="1"/>
  <c r="B34" i="47"/>
  <c r="I102" i="47" s="1"/>
  <c r="L8" i="47"/>
  <c r="O7" i="47"/>
  <c r="O8" i="47" s="1"/>
  <c r="E6" i="47"/>
  <c r="B6" i="47"/>
  <c r="I98" i="46"/>
  <c r="I96" i="46"/>
  <c r="I100" i="46" s="1"/>
  <c r="C95" i="46"/>
  <c r="B95" i="46"/>
  <c r="I94" i="46"/>
  <c r="D94" i="46"/>
  <c r="D93" i="46"/>
  <c r="H92" i="46"/>
  <c r="G92" i="46"/>
  <c r="D92" i="46"/>
  <c r="I91" i="46"/>
  <c r="D91" i="46"/>
  <c r="I90" i="46"/>
  <c r="D90" i="46"/>
  <c r="I89" i="46"/>
  <c r="D89" i="46"/>
  <c r="I88" i="46"/>
  <c r="I92" i="46" s="1"/>
  <c r="D88" i="46"/>
  <c r="D95" i="46" s="1"/>
  <c r="C84" i="46"/>
  <c r="B84" i="46"/>
  <c r="D83" i="46"/>
  <c r="H82" i="46"/>
  <c r="G82" i="46"/>
  <c r="D82" i="46"/>
  <c r="I81" i="46"/>
  <c r="D81" i="46"/>
  <c r="D84" i="46" s="1"/>
  <c r="I80" i="46"/>
  <c r="D80" i="46"/>
  <c r="I79" i="46"/>
  <c r="I82" i="46" s="1"/>
  <c r="D79" i="46"/>
  <c r="H75" i="46"/>
  <c r="G75" i="46"/>
  <c r="C75" i="46"/>
  <c r="B75" i="46"/>
  <c r="I74" i="46"/>
  <c r="D74" i="46"/>
  <c r="I73" i="46"/>
  <c r="D73" i="46"/>
  <c r="I72" i="46"/>
  <c r="I75" i="46" s="1"/>
  <c r="D72" i="46"/>
  <c r="D75" i="46" s="1"/>
  <c r="H68" i="46"/>
  <c r="G68" i="46"/>
  <c r="C68" i="46"/>
  <c r="I67" i="46"/>
  <c r="D67" i="46"/>
  <c r="I66" i="46"/>
  <c r="D66" i="46"/>
  <c r="I65" i="46"/>
  <c r="D65" i="46"/>
  <c r="I64" i="46"/>
  <c r="I68" i="46" s="1"/>
  <c r="D64" i="46"/>
  <c r="D68" i="46" s="1"/>
  <c r="C60" i="46"/>
  <c r="B60" i="46"/>
  <c r="J59" i="46"/>
  <c r="H59" i="46"/>
  <c r="G59" i="46"/>
  <c r="D59" i="46"/>
  <c r="I58" i="46"/>
  <c r="D58" i="46"/>
  <c r="I57" i="46"/>
  <c r="D57" i="46"/>
  <c r="I56" i="46"/>
  <c r="D56" i="46"/>
  <c r="I55" i="46"/>
  <c r="D55" i="46"/>
  <c r="I54" i="46"/>
  <c r="D54" i="46"/>
  <c r="D60" i="46" s="1"/>
  <c r="I53" i="46"/>
  <c r="I59" i="46" s="1"/>
  <c r="D53" i="46"/>
  <c r="D49" i="46"/>
  <c r="C49" i="46"/>
  <c r="B49" i="46"/>
  <c r="H48" i="46"/>
  <c r="G48" i="46"/>
  <c r="I47" i="46"/>
  <c r="I46" i="46"/>
  <c r="I45" i="46"/>
  <c r="I44" i="46"/>
  <c r="I43" i="46"/>
  <c r="I42" i="46"/>
  <c r="I41" i="46"/>
  <c r="I40" i="46"/>
  <c r="I39" i="46"/>
  <c r="I48" i="46" s="1"/>
  <c r="B34" i="46"/>
  <c r="I102" i="46" s="1"/>
  <c r="L8" i="46"/>
  <c r="O7" i="46"/>
  <c r="O8" i="46" s="1"/>
  <c r="E6" i="46"/>
  <c r="B6" i="46"/>
  <c r="I98" i="45"/>
  <c r="I96" i="45"/>
  <c r="I100" i="45" s="1"/>
  <c r="C95" i="45"/>
  <c r="B95" i="45"/>
  <c r="I94" i="45"/>
  <c r="D94" i="45"/>
  <c r="D93" i="45"/>
  <c r="H92" i="45"/>
  <c r="G92" i="45"/>
  <c r="D92" i="45"/>
  <c r="I91" i="45"/>
  <c r="D91" i="45"/>
  <c r="I90" i="45"/>
  <c r="D90" i="45"/>
  <c r="I89" i="45"/>
  <c r="D89" i="45"/>
  <c r="I88" i="45"/>
  <c r="I92" i="45" s="1"/>
  <c r="D88" i="45"/>
  <c r="D95" i="45" s="1"/>
  <c r="C84" i="45"/>
  <c r="B84" i="45"/>
  <c r="D83" i="45"/>
  <c r="H82" i="45"/>
  <c r="G82" i="45"/>
  <c r="D82" i="45"/>
  <c r="I81" i="45"/>
  <c r="D81" i="45"/>
  <c r="D84" i="45" s="1"/>
  <c r="I80" i="45"/>
  <c r="D80" i="45"/>
  <c r="I79" i="45"/>
  <c r="I82" i="45" s="1"/>
  <c r="D79" i="45"/>
  <c r="H75" i="45"/>
  <c r="G75" i="45"/>
  <c r="C75" i="45"/>
  <c r="B75" i="45"/>
  <c r="I74" i="45"/>
  <c r="D74" i="45"/>
  <c r="I73" i="45"/>
  <c r="D73" i="45"/>
  <c r="I72" i="45"/>
  <c r="I75" i="45" s="1"/>
  <c r="D72" i="45"/>
  <c r="D75" i="45" s="1"/>
  <c r="H68" i="45"/>
  <c r="G68" i="45"/>
  <c r="C68" i="45"/>
  <c r="I67" i="45"/>
  <c r="D67" i="45"/>
  <c r="I66" i="45"/>
  <c r="D66" i="45"/>
  <c r="I65" i="45"/>
  <c r="D65" i="45"/>
  <c r="I64" i="45"/>
  <c r="I68" i="45" s="1"/>
  <c r="D64" i="45"/>
  <c r="D68" i="45" s="1"/>
  <c r="C60" i="45"/>
  <c r="B60" i="45"/>
  <c r="J59" i="45"/>
  <c r="H59" i="45"/>
  <c r="G59" i="45"/>
  <c r="D59" i="45"/>
  <c r="I58" i="45"/>
  <c r="D58" i="45"/>
  <c r="I57" i="45"/>
  <c r="D57" i="45"/>
  <c r="I56" i="45"/>
  <c r="D56" i="45"/>
  <c r="I55" i="45"/>
  <c r="D55" i="45"/>
  <c r="I54" i="45"/>
  <c r="D54" i="45"/>
  <c r="D60" i="45" s="1"/>
  <c r="I53" i="45"/>
  <c r="I59" i="45" s="1"/>
  <c r="D53" i="45"/>
  <c r="D49" i="45"/>
  <c r="C49" i="45"/>
  <c r="B49" i="45"/>
  <c r="H48" i="45"/>
  <c r="G48" i="45"/>
  <c r="I47" i="45"/>
  <c r="I46" i="45"/>
  <c r="I45" i="45"/>
  <c r="I44" i="45"/>
  <c r="I43" i="45"/>
  <c r="I42" i="45"/>
  <c r="I41" i="45"/>
  <c r="I40" i="45"/>
  <c r="I39" i="45"/>
  <c r="I48" i="45" s="1"/>
  <c r="B34" i="45"/>
  <c r="I102" i="45" s="1"/>
  <c r="L8" i="45"/>
  <c r="O7" i="45"/>
  <c r="O8" i="45" s="1"/>
  <c r="E6" i="45"/>
  <c r="B6" i="45"/>
  <c r="I98" i="44"/>
  <c r="I96" i="44"/>
  <c r="I100" i="44" s="1"/>
  <c r="C95" i="44"/>
  <c r="B95" i="44"/>
  <c r="I94" i="44"/>
  <c r="D94" i="44"/>
  <c r="D93" i="44"/>
  <c r="H92" i="44"/>
  <c r="G92" i="44"/>
  <c r="D92" i="44"/>
  <c r="I91" i="44"/>
  <c r="D91" i="44"/>
  <c r="I90" i="44"/>
  <c r="D90" i="44"/>
  <c r="I89" i="44"/>
  <c r="D89" i="44"/>
  <c r="I88" i="44"/>
  <c r="I92" i="44" s="1"/>
  <c r="D88" i="44"/>
  <c r="D95" i="44" s="1"/>
  <c r="C84" i="44"/>
  <c r="B84" i="44"/>
  <c r="D83" i="44"/>
  <c r="H82" i="44"/>
  <c r="G82" i="44"/>
  <c r="D82" i="44"/>
  <c r="I81" i="44"/>
  <c r="D81" i="44"/>
  <c r="D84" i="44" s="1"/>
  <c r="I80" i="44"/>
  <c r="D80" i="44"/>
  <c r="I79" i="44"/>
  <c r="I82" i="44" s="1"/>
  <c r="D79" i="44"/>
  <c r="H75" i="44"/>
  <c r="G75" i="44"/>
  <c r="C75" i="44"/>
  <c r="B75" i="44"/>
  <c r="I74" i="44"/>
  <c r="D74" i="44"/>
  <c r="I73" i="44"/>
  <c r="D73" i="44"/>
  <c r="I72" i="44"/>
  <c r="I75" i="44" s="1"/>
  <c r="D72" i="44"/>
  <c r="D75" i="44" s="1"/>
  <c r="H68" i="44"/>
  <c r="G68" i="44"/>
  <c r="C68" i="44"/>
  <c r="I67" i="44"/>
  <c r="D67" i="44"/>
  <c r="I66" i="44"/>
  <c r="D66" i="44"/>
  <c r="I65" i="44"/>
  <c r="D65" i="44"/>
  <c r="I64" i="44"/>
  <c r="I68" i="44" s="1"/>
  <c r="D64" i="44"/>
  <c r="D68" i="44" s="1"/>
  <c r="C60" i="44"/>
  <c r="B60" i="44"/>
  <c r="J59" i="44"/>
  <c r="H59" i="44"/>
  <c r="G59" i="44"/>
  <c r="D59" i="44"/>
  <c r="I58" i="44"/>
  <c r="D58" i="44"/>
  <c r="I57" i="44"/>
  <c r="D57" i="44"/>
  <c r="I56" i="44"/>
  <c r="D56" i="44"/>
  <c r="I55" i="44"/>
  <c r="D55" i="44"/>
  <c r="I54" i="44"/>
  <c r="D54" i="44"/>
  <c r="D60" i="44" s="1"/>
  <c r="I53" i="44"/>
  <c r="I59" i="44" s="1"/>
  <c r="D53" i="44"/>
  <c r="D49" i="44"/>
  <c r="C49" i="44"/>
  <c r="B49" i="44"/>
  <c r="H48" i="44"/>
  <c r="G48" i="44"/>
  <c r="I47" i="44"/>
  <c r="I46" i="44"/>
  <c r="I45" i="44"/>
  <c r="I44" i="44"/>
  <c r="I43" i="44"/>
  <c r="I42" i="44"/>
  <c r="I41" i="44"/>
  <c r="I40" i="44"/>
  <c r="I39" i="44"/>
  <c r="I48" i="44" s="1"/>
  <c r="B34" i="44"/>
  <c r="I102" i="44" s="1"/>
  <c r="L8" i="44"/>
  <c r="O7" i="44"/>
  <c r="O8" i="44" s="1"/>
  <c r="E6" i="44"/>
  <c r="B6" i="44"/>
  <c r="F46" i="43"/>
  <c r="F45" i="43"/>
  <c r="D46" i="43"/>
  <c r="D45" i="43"/>
  <c r="D5" i="43"/>
  <c r="D6" i="43"/>
  <c r="D4" i="43"/>
  <c r="C5" i="43"/>
  <c r="C6" i="43"/>
  <c r="C4" i="43"/>
  <c r="F46" i="42"/>
  <c r="F45" i="42"/>
  <c r="D46" i="42"/>
  <c r="D45" i="42"/>
  <c r="D5" i="42"/>
  <c r="D6" i="42"/>
  <c r="D4" i="42"/>
  <c r="C5" i="42"/>
  <c r="C6" i="42"/>
  <c r="C4" i="42"/>
  <c r="F46" i="41"/>
  <c r="F45" i="41"/>
  <c r="D46" i="41"/>
  <c r="D45" i="41"/>
  <c r="D5" i="41"/>
  <c r="D6" i="41"/>
  <c r="D4" i="41"/>
  <c r="C6" i="41"/>
  <c r="C5" i="41"/>
  <c r="C4" i="41"/>
  <c r="D46" i="39"/>
  <c r="D46" i="40"/>
  <c r="F46" i="40"/>
  <c r="F45" i="40"/>
  <c r="D45" i="40"/>
  <c r="D5" i="40"/>
  <c r="D6" i="40"/>
  <c r="D4" i="40"/>
  <c r="C5" i="40"/>
  <c r="C6" i="40"/>
  <c r="C4" i="40"/>
  <c r="F45" i="33"/>
  <c r="D6" i="33"/>
  <c r="D5" i="33"/>
  <c r="D4" i="33"/>
  <c r="F46" i="33"/>
  <c r="F46" i="39"/>
  <c r="F45" i="39"/>
  <c r="D6" i="39"/>
  <c r="D5" i="39"/>
  <c r="D4" i="39"/>
  <c r="D45" i="39"/>
  <c r="C4" i="39"/>
  <c r="C5" i="39"/>
  <c r="C6" i="39"/>
  <c r="I98" i="38"/>
  <c r="I96" i="38"/>
  <c r="I100" i="38" s="1"/>
  <c r="C95" i="38"/>
  <c r="B95" i="38"/>
  <c r="I94" i="38"/>
  <c r="D94" i="38"/>
  <c r="D93" i="38"/>
  <c r="H92" i="38"/>
  <c r="G92" i="38"/>
  <c r="D92" i="38"/>
  <c r="I91" i="38"/>
  <c r="D91" i="38"/>
  <c r="I90" i="38"/>
  <c r="D90" i="38"/>
  <c r="I89" i="38"/>
  <c r="D89" i="38"/>
  <c r="I88" i="38"/>
  <c r="I92" i="38" s="1"/>
  <c r="D88" i="38"/>
  <c r="D95" i="38" s="1"/>
  <c r="C84" i="38"/>
  <c r="B84" i="38"/>
  <c r="D83" i="38"/>
  <c r="H82" i="38"/>
  <c r="G82" i="38"/>
  <c r="D82" i="38"/>
  <c r="I81" i="38"/>
  <c r="D81" i="38"/>
  <c r="D84" i="38" s="1"/>
  <c r="I80" i="38"/>
  <c r="D80" i="38"/>
  <c r="I79" i="38"/>
  <c r="I82" i="38" s="1"/>
  <c r="D79" i="38"/>
  <c r="H75" i="38"/>
  <c r="G75" i="38"/>
  <c r="C75" i="38"/>
  <c r="B75" i="38"/>
  <c r="I74" i="38"/>
  <c r="D74" i="38"/>
  <c r="I73" i="38"/>
  <c r="D73" i="38"/>
  <c r="I72" i="38"/>
  <c r="I75" i="38" s="1"/>
  <c r="D72" i="38"/>
  <c r="D75" i="38" s="1"/>
  <c r="H68" i="38"/>
  <c r="G68" i="38"/>
  <c r="C68" i="38"/>
  <c r="I67" i="38"/>
  <c r="D67" i="38"/>
  <c r="I66" i="38"/>
  <c r="D66" i="38"/>
  <c r="I65" i="38"/>
  <c r="D65" i="38"/>
  <c r="I64" i="38"/>
  <c r="I68" i="38" s="1"/>
  <c r="D64" i="38"/>
  <c r="D68" i="38" s="1"/>
  <c r="C60" i="38"/>
  <c r="B60" i="38"/>
  <c r="J59" i="38"/>
  <c r="H59" i="38"/>
  <c r="G59" i="38"/>
  <c r="D59" i="38"/>
  <c r="I58" i="38"/>
  <c r="D58" i="38"/>
  <c r="I57" i="38"/>
  <c r="D57" i="38"/>
  <c r="I56" i="38"/>
  <c r="D56" i="38"/>
  <c r="I55" i="38"/>
  <c r="D55" i="38"/>
  <c r="I54" i="38"/>
  <c r="D54" i="38"/>
  <c r="D60" i="38" s="1"/>
  <c r="I53" i="38"/>
  <c r="I59" i="38" s="1"/>
  <c r="D53" i="38"/>
  <c r="D49" i="38"/>
  <c r="C49" i="38"/>
  <c r="B49" i="38"/>
  <c r="H48" i="38"/>
  <c r="G48" i="38"/>
  <c r="I47" i="38"/>
  <c r="I46" i="38"/>
  <c r="I45" i="38"/>
  <c r="I44" i="38"/>
  <c r="I43" i="38"/>
  <c r="I42" i="38"/>
  <c r="I41" i="38"/>
  <c r="I40" i="38"/>
  <c r="I39" i="38"/>
  <c r="I48" i="38" s="1"/>
  <c r="B34" i="38"/>
  <c r="I102" i="38" s="1"/>
  <c r="L8" i="38"/>
  <c r="O7" i="38"/>
  <c r="O8" i="38" s="1"/>
  <c r="E6" i="38"/>
  <c r="B6" i="38"/>
  <c r="I98" i="37"/>
  <c r="I96" i="37"/>
  <c r="I100" i="37" s="1"/>
  <c r="C95" i="37"/>
  <c r="B95" i="37"/>
  <c r="I94" i="37"/>
  <c r="D94" i="37"/>
  <c r="D93" i="37"/>
  <c r="H92" i="37"/>
  <c r="G92" i="37"/>
  <c r="D92" i="37"/>
  <c r="I91" i="37"/>
  <c r="D91" i="37"/>
  <c r="I90" i="37"/>
  <c r="D90" i="37"/>
  <c r="I89" i="37"/>
  <c r="D89" i="37"/>
  <c r="I88" i="37"/>
  <c r="I92" i="37" s="1"/>
  <c r="D88" i="37"/>
  <c r="D95" i="37" s="1"/>
  <c r="C84" i="37"/>
  <c r="B84" i="37"/>
  <c r="D83" i="37"/>
  <c r="H82" i="37"/>
  <c r="G82" i="37"/>
  <c r="D82" i="37"/>
  <c r="I81" i="37"/>
  <c r="D81" i="37"/>
  <c r="D84" i="37" s="1"/>
  <c r="I80" i="37"/>
  <c r="D80" i="37"/>
  <c r="I79" i="37"/>
  <c r="I82" i="37" s="1"/>
  <c r="D79" i="37"/>
  <c r="H75" i="37"/>
  <c r="G75" i="37"/>
  <c r="D75" i="37"/>
  <c r="C75" i="37"/>
  <c r="B75" i="37"/>
  <c r="I74" i="37"/>
  <c r="D74" i="37"/>
  <c r="I73" i="37"/>
  <c r="D73" i="37"/>
  <c r="I72" i="37"/>
  <c r="I75" i="37" s="1"/>
  <c r="D72" i="37"/>
  <c r="H68" i="37"/>
  <c r="G68" i="37"/>
  <c r="C68" i="37"/>
  <c r="I67" i="37"/>
  <c r="D67" i="37"/>
  <c r="I66" i="37"/>
  <c r="D66" i="37"/>
  <c r="I65" i="37"/>
  <c r="D65" i="37"/>
  <c r="I64" i="37"/>
  <c r="I68" i="37" s="1"/>
  <c r="D64" i="37"/>
  <c r="D68" i="37" s="1"/>
  <c r="C60" i="37"/>
  <c r="B60" i="37"/>
  <c r="J59" i="37"/>
  <c r="H59" i="37"/>
  <c r="G59" i="37"/>
  <c r="D59" i="37"/>
  <c r="I58" i="37"/>
  <c r="D58" i="37"/>
  <c r="I57" i="37"/>
  <c r="D57" i="37"/>
  <c r="I56" i="37"/>
  <c r="D56" i="37"/>
  <c r="I55" i="37"/>
  <c r="D55" i="37"/>
  <c r="I54" i="37"/>
  <c r="D54" i="37"/>
  <c r="D60" i="37" s="1"/>
  <c r="I53" i="37"/>
  <c r="I59" i="37" s="1"/>
  <c r="D53" i="37"/>
  <c r="D49" i="37"/>
  <c r="C49" i="37"/>
  <c r="B49" i="37"/>
  <c r="H48" i="37"/>
  <c r="G48" i="37"/>
  <c r="I47" i="37"/>
  <c r="I46" i="37"/>
  <c r="I45" i="37"/>
  <c r="I44" i="37"/>
  <c r="I43" i="37"/>
  <c r="I42" i="37"/>
  <c r="I41" i="37"/>
  <c r="I40" i="37"/>
  <c r="I39" i="37"/>
  <c r="I48" i="37" s="1"/>
  <c r="B34" i="37"/>
  <c r="I102" i="37" s="1"/>
  <c r="L8" i="37"/>
  <c r="O7" i="37"/>
  <c r="O8" i="37" s="1"/>
  <c r="E6" i="37"/>
  <c r="B6" i="37"/>
  <c r="I98" i="36"/>
  <c r="I96" i="36"/>
  <c r="I100" i="36" s="1"/>
  <c r="C95" i="36"/>
  <c r="B95" i="36"/>
  <c r="I94" i="36"/>
  <c r="D94" i="36"/>
  <c r="D93" i="36"/>
  <c r="H92" i="36"/>
  <c r="G92" i="36"/>
  <c r="D92" i="36"/>
  <c r="I91" i="36"/>
  <c r="D91" i="36"/>
  <c r="I90" i="36"/>
  <c r="D90" i="36"/>
  <c r="I89" i="36"/>
  <c r="D89" i="36"/>
  <c r="I88" i="36"/>
  <c r="I92" i="36" s="1"/>
  <c r="D88" i="36"/>
  <c r="D95" i="36" s="1"/>
  <c r="C84" i="36"/>
  <c r="B84" i="36"/>
  <c r="D83" i="36"/>
  <c r="H82" i="36"/>
  <c r="G82" i="36"/>
  <c r="D82" i="36"/>
  <c r="I81" i="36"/>
  <c r="D81" i="36"/>
  <c r="D84" i="36" s="1"/>
  <c r="I80" i="36"/>
  <c r="D80" i="36"/>
  <c r="I79" i="36"/>
  <c r="I82" i="36" s="1"/>
  <c r="D79" i="36"/>
  <c r="H75" i="36"/>
  <c r="G75" i="36"/>
  <c r="C75" i="36"/>
  <c r="B75" i="36"/>
  <c r="I74" i="36"/>
  <c r="D74" i="36"/>
  <c r="I73" i="36"/>
  <c r="D73" i="36"/>
  <c r="I72" i="36"/>
  <c r="I75" i="36" s="1"/>
  <c r="D72" i="36"/>
  <c r="D75" i="36" s="1"/>
  <c r="H68" i="36"/>
  <c r="G68" i="36"/>
  <c r="C68" i="36"/>
  <c r="I67" i="36"/>
  <c r="D67" i="36"/>
  <c r="I66" i="36"/>
  <c r="D66" i="36"/>
  <c r="I65" i="36"/>
  <c r="D65" i="36"/>
  <c r="I64" i="36"/>
  <c r="I68" i="36" s="1"/>
  <c r="D64" i="36"/>
  <c r="D68" i="36" s="1"/>
  <c r="C60" i="36"/>
  <c r="B60" i="36"/>
  <c r="J59" i="36"/>
  <c r="H59" i="36"/>
  <c r="G59" i="36"/>
  <c r="D59" i="36"/>
  <c r="I58" i="36"/>
  <c r="D58" i="36"/>
  <c r="I57" i="36"/>
  <c r="D57" i="36"/>
  <c r="I56" i="36"/>
  <c r="D56" i="36"/>
  <c r="I55" i="36"/>
  <c r="D55" i="36"/>
  <c r="I54" i="36"/>
  <c r="D54" i="36"/>
  <c r="D60" i="36" s="1"/>
  <c r="I53" i="36"/>
  <c r="I59" i="36" s="1"/>
  <c r="D53" i="36"/>
  <c r="D49" i="36"/>
  <c r="C49" i="36"/>
  <c r="B49" i="36"/>
  <c r="H48" i="36"/>
  <c r="G48" i="36"/>
  <c r="I47" i="36"/>
  <c r="I46" i="36"/>
  <c r="I45" i="36"/>
  <c r="I44" i="36"/>
  <c r="I43" i="36"/>
  <c r="I42" i="36"/>
  <c r="I41" i="36"/>
  <c r="I40" i="36"/>
  <c r="I39" i="36"/>
  <c r="I48" i="36" s="1"/>
  <c r="B34" i="36"/>
  <c r="I102" i="36" s="1"/>
  <c r="L8" i="36"/>
  <c r="O7" i="36"/>
  <c r="O8" i="36" s="1"/>
  <c r="E6" i="36"/>
  <c r="B6" i="36"/>
  <c r="I98" i="35"/>
  <c r="I96" i="35"/>
  <c r="I100" i="35" s="1"/>
  <c r="C95" i="35"/>
  <c r="B95" i="35"/>
  <c r="I94" i="35"/>
  <c r="D94" i="35"/>
  <c r="D93" i="35"/>
  <c r="H92" i="35"/>
  <c r="G92" i="35"/>
  <c r="D92" i="35"/>
  <c r="I91" i="35"/>
  <c r="D91" i="35"/>
  <c r="I90" i="35"/>
  <c r="D90" i="35"/>
  <c r="I89" i="35"/>
  <c r="D89" i="35"/>
  <c r="I88" i="35"/>
  <c r="I92" i="35" s="1"/>
  <c r="D88" i="35"/>
  <c r="D95" i="35" s="1"/>
  <c r="C84" i="35"/>
  <c r="B84" i="35"/>
  <c r="D83" i="35"/>
  <c r="H82" i="35"/>
  <c r="G82" i="35"/>
  <c r="D82" i="35"/>
  <c r="I81" i="35"/>
  <c r="D81" i="35"/>
  <c r="D84" i="35" s="1"/>
  <c r="I80" i="35"/>
  <c r="D80" i="35"/>
  <c r="I79" i="35"/>
  <c r="I82" i="35" s="1"/>
  <c r="D79" i="35"/>
  <c r="H75" i="35"/>
  <c r="G75" i="35"/>
  <c r="C75" i="35"/>
  <c r="B75" i="35"/>
  <c r="I74" i="35"/>
  <c r="D74" i="35"/>
  <c r="I73" i="35"/>
  <c r="D73" i="35"/>
  <c r="I72" i="35"/>
  <c r="I75" i="35" s="1"/>
  <c r="D72" i="35"/>
  <c r="D75" i="35" s="1"/>
  <c r="H68" i="35"/>
  <c r="G68" i="35"/>
  <c r="C68" i="35"/>
  <c r="I67" i="35"/>
  <c r="D67" i="35"/>
  <c r="I66" i="35"/>
  <c r="D66" i="35"/>
  <c r="I65" i="35"/>
  <c r="D65" i="35"/>
  <c r="I64" i="35"/>
  <c r="I68" i="35" s="1"/>
  <c r="D64" i="35"/>
  <c r="D68" i="35" s="1"/>
  <c r="C60" i="35"/>
  <c r="B60" i="35"/>
  <c r="J59" i="35"/>
  <c r="H59" i="35"/>
  <c r="G59" i="35"/>
  <c r="D59" i="35"/>
  <c r="I58" i="35"/>
  <c r="D58" i="35"/>
  <c r="I57" i="35"/>
  <c r="D57" i="35"/>
  <c r="I56" i="35"/>
  <c r="D56" i="35"/>
  <c r="I55" i="35"/>
  <c r="D55" i="35"/>
  <c r="I54" i="35"/>
  <c r="D54" i="35"/>
  <c r="D60" i="35" s="1"/>
  <c r="I53" i="35"/>
  <c r="I59" i="35" s="1"/>
  <c r="D53" i="35"/>
  <c r="D49" i="35"/>
  <c r="C49" i="35"/>
  <c r="B49" i="35"/>
  <c r="H48" i="35"/>
  <c r="G48" i="35"/>
  <c r="I47" i="35"/>
  <c r="I46" i="35"/>
  <c r="I45" i="35"/>
  <c r="I44" i="35"/>
  <c r="I43" i="35"/>
  <c r="I42" i="35"/>
  <c r="I41" i="35"/>
  <c r="I40" i="35"/>
  <c r="I39" i="35"/>
  <c r="I48" i="35" s="1"/>
  <c r="B34" i="35"/>
  <c r="I102" i="35" s="1"/>
  <c r="L8" i="35"/>
  <c r="O7" i="35"/>
  <c r="O8" i="35" s="1"/>
  <c r="E6" i="35"/>
  <c r="B6" i="35"/>
  <c r="I98" i="34"/>
  <c r="I96" i="34"/>
  <c r="I100" i="34" s="1"/>
  <c r="C95" i="34"/>
  <c r="B95" i="34"/>
  <c r="I94" i="34"/>
  <c r="D94" i="34"/>
  <c r="D93" i="34"/>
  <c r="H92" i="34"/>
  <c r="G92" i="34"/>
  <c r="D92" i="34"/>
  <c r="I91" i="34"/>
  <c r="D91" i="34"/>
  <c r="I90" i="34"/>
  <c r="D90" i="34"/>
  <c r="I89" i="34"/>
  <c r="D89" i="34"/>
  <c r="I88" i="34"/>
  <c r="I92" i="34" s="1"/>
  <c r="D88" i="34"/>
  <c r="D95" i="34" s="1"/>
  <c r="C84" i="34"/>
  <c r="B84" i="34"/>
  <c r="D83" i="34"/>
  <c r="H82" i="34"/>
  <c r="G82" i="34"/>
  <c r="D82" i="34"/>
  <c r="I81" i="34"/>
  <c r="D81" i="34"/>
  <c r="D84" i="34" s="1"/>
  <c r="I80" i="34"/>
  <c r="D80" i="34"/>
  <c r="I79" i="34"/>
  <c r="I82" i="34" s="1"/>
  <c r="D79" i="34"/>
  <c r="H75" i="34"/>
  <c r="G75" i="34"/>
  <c r="C75" i="34"/>
  <c r="B75" i="34"/>
  <c r="I74" i="34"/>
  <c r="D74" i="34"/>
  <c r="I73" i="34"/>
  <c r="D73" i="34"/>
  <c r="I72" i="34"/>
  <c r="I75" i="34" s="1"/>
  <c r="D72" i="34"/>
  <c r="D75" i="34" s="1"/>
  <c r="H68" i="34"/>
  <c r="G68" i="34"/>
  <c r="C68" i="34"/>
  <c r="I67" i="34"/>
  <c r="D67" i="34"/>
  <c r="I66" i="34"/>
  <c r="D66" i="34"/>
  <c r="I65" i="34"/>
  <c r="D65" i="34"/>
  <c r="I64" i="34"/>
  <c r="I68" i="34" s="1"/>
  <c r="D64" i="34"/>
  <c r="D68" i="34" s="1"/>
  <c r="C60" i="34"/>
  <c r="B60" i="34"/>
  <c r="J59" i="34"/>
  <c r="H59" i="34"/>
  <c r="G59" i="34"/>
  <c r="D59" i="34"/>
  <c r="I58" i="34"/>
  <c r="D58" i="34"/>
  <c r="I57" i="34"/>
  <c r="D57" i="34"/>
  <c r="I56" i="34"/>
  <c r="D56" i="34"/>
  <c r="I55" i="34"/>
  <c r="D55" i="34"/>
  <c r="I54" i="34"/>
  <c r="D54" i="34"/>
  <c r="D60" i="34" s="1"/>
  <c r="I53" i="34"/>
  <c r="I59" i="34" s="1"/>
  <c r="D53" i="34"/>
  <c r="D49" i="34"/>
  <c r="C49" i="34"/>
  <c r="B49" i="34"/>
  <c r="H48" i="34"/>
  <c r="G48" i="34"/>
  <c r="I47" i="34"/>
  <c r="I46" i="34"/>
  <c r="I45" i="34"/>
  <c r="I44" i="34"/>
  <c r="I43" i="34"/>
  <c r="I42" i="34"/>
  <c r="I41" i="34"/>
  <c r="I40" i="34"/>
  <c r="I39" i="34"/>
  <c r="I48" i="34" s="1"/>
  <c r="B34" i="34"/>
  <c r="I102" i="34" s="1"/>
  <c r="L8" i="34"/>
  <c r="O7" i="34"/>
  <c r="O8" i="34" s="1"/>
  <c r="E6" i="34"/>
  <c r="B6" i="34"/>
  <c r="C6" i="33"/>
  <c r="C5" i="33"/>
  <c r="C4" i="33"/>
  <c r="D45" i="33"/>
  <c r="D46" i="31"/>
  <c r="D45" i="31"/>
  <c r="D46" i="33"/>
  <c r="I98" i="32"/>
  <c r="I96" i="32"/>
  <c r="I100" i="32" s="1"/>
  <c r="C95" i="32"/>
  <c r="B95" i="32"/>
  <c r="I94" i="32"/>
  <c r="D94" i="32"/>
  <c r="D93" i="32"/>
  <c r="H92" i="32"/>
  <c r="G92" i="32"/>
  <c r="D92" i="32"/>
  <c r="I91" i="32"/>
  <c r="D91" i="32"/>
  <c r="I90" i="32"/>
  <c r="D90" i="32"/>
  <c r="I89" i="32"/>
  <c r="D89" i="32"/>
  <c r="I88" i="32"/>
  <c r="I92" i="32" s="1"/>
  <c r="D88" i="32"/>
  <c r="D95" i="32" s="1"/>
  <c r="C84" i="32"/>
  <c r="B84" i="32"/>
  <c r="D83" i="32"/>
  <c r="H82" i="32"/>
  <c r="G82" i="32"/>
  <c r="D82" i="32"/>
  <c r="I81" i="32"/>
  <c r="D81" i="32"/>
  <c r="D84" i="32" s="1"/>
  <c r="I80" i="32"/>
  <c r="D80" i="32"/>
  <c r="I79" i="32"/>
  <c r="I82" i="32" s="1"/>
  <c r="D79" i="32"/>
  <c r="H75" i="32"/>
  <c r="G75" i="32"/>
  <c r="C75" i="32"/>
  <c r="B75" i="32"/>
  <c r="I74" i="32"/>
  <c r="D74" i="32"/>
  <c r="I73" i="32"/>
  <c r="D73" i="32"/>
  <c r="I72" i="32"/>
  <c r="I75" i="32" s="1"/>
  <c r="D72" i="32"/>
  <c r="D75" i="32" s="1"/>
  <c r="H68" i="32"/>
  <c r="G68" i="32"/>
  <c r="C68" i="32"/>
  <c r="I67" i="32"/>
  <c r="D67" i="32"/>
  <c r="I66" i="32"/>
  <c r="D66" i="32"/>
  <c r="I65" i="32"/>
  <c r="D65" i="32"/>
  <c r="I64" i="32"/>
  <c r="I68" i="32" s="1"/>
  <c r="D64" i="32"/>
  <c r="D68" i="32" s="1"/>
  <c r="C60" i="32"/>
  <c r="B60" i="32"/>
  <c r="J59" i="32"/>
  <c r="H59" i="32"/>
  <c r="G59" i="32"/>
  <c r="D59" i="32"/>
  <c r="I58" i="32"/>
  <c r="D58" i="32"/>
  <c r="I57" i="32"/>
  <c r="D57" i="32"/>
  <c r="I56" i="32"/>
  <c r="D56" i="32"/>
  <c r="I55" i="32"/>
  <c r="D55" i="32"/>
  <c r="I54" i="32"/>
  <c r="D54" i="32"/>
  <c r="D60" i="32" s="1"/>
  <c r="I53" i="32"/>
  <c r="I59" i="32" s="1"/>
  <c r="D53" i="32"/>
  <c r="D49" i="32"/>
  <c r="C49" i="32"/>
  <c r="B49" i="32"/>
  <c r="H48" i="32"/>
  <c r="G48" i="32"/>
  <c r="I47" i="32"/>
  <c r="I46" i="32"/>
  <c r="I45" i="32"/>
  <c r="I44" i="32"/>
  <c r="I43" i="32"/>
  <c r="I42" i="32"/>
  <c r="I41" i="32"/>
  <c r="I40" i="32"/>
  <c r="I39" i="32"/>
  <c r="I48" i="32" s="1"/>
  <c r="B34" i="32"/>
  <c r="I102" i="32" s="1"/>
  <c r="L8" i="32"/>
  <c r="O7" i="32"/>
  <c r="O8" i="32" s="1"/>
  <c r="E6" i="32"/>
  <c r="B6" i="32"/>
  <c r="B84" i="2"/>
  <c r="B6" i="2"/>
  <c r="E6" i="2"/>
  <c r="O7" i="2"/>
  <c r="L8" i="2"/>
  <c r="O8" i="2"/>
  <c r="I39" i="2"/>
  <c r="I40" i="2"/>
  <c r="I41" i="2"/>
  <c r="I42" i="2"/>
  <c r="I43" i="2"/>
  <c r="I44" i="2"/>
  <c r="I45" i="2"/>
  <c r="I46" i="2"/>
  <c r="I47" i="2"/>
  <c r="G48" i="2"/>
  <c r="H48" i="2"/>
  <c r="B49" i="2"/>
  <c r="C49" i="2"/>
  <c r="D53" i="2"/>
  <c r="I53" i="2"/>
  <c r="D54" i="2"/>
  <c r="I54" i="2"/>
  <c r="D55" i="2"/>
  <c r="I55" i="2"/>
  <c r="D56" i="2"/>
  <c r="I56" i="2"/>
  <c r="D57" i="2"/>
  <c r="I57" i="2"/>
  <c r="D58" i="2"/>
  <c r="I58" i="2"/>
  <c r="D59" i="2"/>
  <c r="G59" i="2"/>
  <c r="H59" i="2"/>
  <c r="J59" i="2"/>
  <c r="I94" i="2" s="1"/>
  <c r="B60" i="2"/>
  <c r="C60" i="2"/>
  <c r="D64" i="2"/>
  <c r="I64" i="2"/>
  <c r="I68" i="2" s="1"/>
  <c r="D65" i="2"/>
  <c r="I65" i="2"/>
  <c r="D66" i="2"/>
  <c r="I66" i="2"/>
  <c r="D67" i="2"/>
  <c r="I67" i="2"/>
  <c r="C68" i="2"/>
  <c r="G68" i="2"/>
  <c r="H68" i="2"/>
  <c r="D72" i="2"/>
  <c r="I72" i="2"/>
  <c r="D73" i="2"/>
  <c r="I73" i="2"/>
  <c r="D74" i="2"/>
  <c r="I74" i="2"/>
  <c r="I75" i="2" s="1"/>
  <c r="B75" i="2"/>
  <c r="C75" i="2"/>
  <c r="G75" i="2"/>
  <c r="H75" i="2"/>
  <c r="D79" i="2"/>
  <c r="I79" i="2"/>
  <c r="D80" i="2"/>
  <c r="I80" i="2"/>
  <c r="D81" i="2"/>
  <c r="I81" i="2"/>
  <c r="D82" i="2"/>
  <c r="G82" i="2"/>
  <c r="H82" i="2"/>
  <c r="D83" i="2"/>
  <c r="C84" i="2"/>
  <c r="D88" i="2"/>
  <c r="I88" i="2"/>
  <c r="D89" i="2"/>
  <c r="D95" i="2" s="1"/>
  <c r="I89" i="2"/>
  <c r="D90" i="2"/>
  <c r="I90" i="2"/>
  <c r="D91" i="2"/>
  <c r="I91" i="2"/>
  <c r="D92" i="2"/>
  <c r="G92" i="2"/>
  <c r="H92" i="2"/>
  <c r="D93" i="2"/>
  <c r="D94" i="2"/>
  <c r="B95" i="2"/>
  <c r="C95" i="2"/>
  <c r="I96" i="2"/>
  <c r="I98" i="2"/>
  <c r="C6" i="31"/>
  <c r="F45" i="31"/>
  <c r="D6" i="31"/>
  <c r="D5" i="31"/>
  <c r="D4" i="31"/>
  <c r="D68" i="2" l="1"/>
  <c r="I92" i="2"/>
  <c r="I82" i="2"/>
  <c r="D84" i="2"/>
  <c r="D75" i="2"/>
  <c r="I59" i="2"/>
  <c r="D60" i="2"/>
  <c r="I48" i="2"/>
  <c r="I100" i="2"/>
  <c r="I102" i="2"/>
  <c r="D49" i="2"/>
</calcChain>
</file>

<file path=xl/sharedStrings.xml><?xml version="1.0" encoding="utf-8"?>
<sst xmlns="http://schemas.openxmlformats.org/spreadsheetml/2006/main" count="2486" uniqueCount="129">
  <si>
    <t>Budget and Expense Tracker</t>
  </si>
  <si>
    <t>Term:</t>
  </si>
  <si>
    <t>Defenition</t>
  </si>
  <si>
    <t xml:space="preserve">Budgeting </t>
  </si>
  <si>
    <t xml:space="preserve">A spending plan based on income and expenses. Can also be an estimate of how much money you'll make and spend over a period of time. </t>
  </si>
  <si>
    <t>Saving</t>
  </si>
  <si>
    <t xml:space="preserve"> Money one has saved, especially through a bank or invesment polan</t>
  </si>
  <si>
    <t>Banking</t>
  </si>
  <si>
    <t>Business conducted or services offered by a bank</t>
  </si>
  <si>
    <t>Credit</t>
  </si>
  <si>
    <t xml:space="preserve">The ability a customer has to obtain goods or services before payment is based on the trust that payment will be made in the future. </t>
  </si>
  <si>
    <t>Retirment</t>
  </si>
  <si>
    <t xml:space="preserve">Action or fact of leaving one's job and ceasing to work </t>
  </si>
  <si>
    <t>Loans</t>
  </si>
  <si>
    <t xml:space="preserve">Something borrrowed, especially a sum of money that is expected to be paid back with interest </t>
  </si>
  <si>
    <t>Investing</t>
  </si>
  <si>
    <t xml:space="preserve">Expend money with the expectation of achieving a profit or material result by putting it into financial plans, shares, or property by using it to develop commercial venture </t>
  </si>
  <si>
    <t>Debt Mangement</t>
  </si>
  <si>
    <t>A way to get your debt under control through financial planning and budgeting.</t>
  </si>
  <si>
    <t>Taxes</t>
  </si>
  <si>
    <t xml:space="preserve">Contribution to state revenue, levied by the government on workers' income and business profits, or added to the cost of some goods, services, and transactions.  </t>
  </si>
  <si>
    <t>Interest</t>
  </si>
  <si>
    <t xml:space="preserve">Money paid regularly at a particular rate for the use of money lent, or for delaying the repayment of a debt. </t>
  </si>
  <si>
    <t>Needs</t>
  </si>
  <si>
    <t>Cost</t>
  </si>
  <si>
    <t>Wants</t>
  </si>
  <si>
    <t>Car Insurance</t>
  </si>
  <si>
    <t>Clothes</t>
  </si>
  <si>
    <t>Credit Card</t>
  </si>
  <si>
    <t>Makeup</t>
  </si>
  <si>
    <t>Groceries</t>
  </si>
  <si>
    <t>Manicure</t>
  </si>
  <si>
    <t>Rent</t>
  </si>
  <si>
    <t>Concert</t>
  </si>
  <si>
    <t>Needs Total</t>
  </si>
  <si>
    <t>Wants Total</t>
  </si>
  <si>
    <t>Paycheck</t>
  </si>
  <si>
    <t>Left Over</t>
  </si>
  <si>
    <t>Actual monthly income</t>
  </si>
  <si>
    <t xml:space="preserve">Income </t>
  </si>
  <si>
    <t>Total monthly income</t>
  </si>
  <si>
    <t>Housing</t>
  </si>
  <si>
    <t>Entertainment</t>
  </si>
  <si>
    <t>Category</t>
  </si>
  <si>
    <t>Projected
cost</t>
  </si>
  <si>
    <t>Actual 
cost</t>
  </si>
  <si>
    <t>Difference</t>
  </si>
  <si>
    <t>Projected 
cost</t>
  </si>
  <si>
    <t>Mortgage or rent</t>
  </si>
  <si>
    <t>Video/DVD</t>
  </si>
  <si>
    <t>Phone</t>
  </si>
  <si>
    <t>CDs</t>
  </si>
  <si>
    <t>Electricity</t>
  </si>
  <si>
    <t>Movies</t>
  </si>
  <si>
    <t>Gas</t>
  </si>
  <si>
    <t>Concerts</t>
  </si>
  <si>
    <t>Water and sewer</t>
  </si>
  <si>
    <t>Sporting events</t>
  </si>
  <si>
    <t>Cable</t>
  </si>
  <si>
    <t>Live theater</t>
  </si>
  <si>
    <t>Waste removal</t>
  </si>
  <si>
    <t>Other</t>
  </si>
  <si>
    <t>Maintenance or repairs</t>
  </si>
  <si>
    <t>Supplies</t>
  </si>
  <si>
    <t>Subtotal</t>
  </si>
  <si>
    <t>Transportation</t>
  </si>
  <si>
    <t>Vehicle payment</t>
  </si>
  <si>
    <t>Personal</t>
  </si>
  <si>
    <t>Bus/taxi fare</t>
  </si>
  <si>
    <t>Student</t>
  </si>
  <si>
    <t>Insurance</t>
  </si>
  <si>
    <t>Credit card</t>
  </si>
  <si>
    <t>Licensing</t>
  </si>
  <si>
    <t>Fuel</t>
  </si>
  <si>
    <t>Maintenance</t>
  </si>
  <si>
    <t>Home</t>
  </si>
  <si>
    <t>Federal</t>
  </si>
  <si>
    <t>Health</t>
  </si>
  <si>
    <t>State</t>
  </si>
  <si>
    <t>Life</t>
  </si>
  <si>
    <t>Local</t>
  </si>
  <si>
    <t>Food</t>
  </si>
  <si>
    <t>Savings or investments</t>
  </si>
  <si>
    <t>Retirement account</t>
  </si>
  <si>
    <t>Dining out</t>
  </si>
  <si>
    <t>Investment account</t>
  </si>
  <si>
    <t>Pets</t>
  </si>
  <si>
    <t>Other 1</t>
  </si>
  <si>
    <t>Medical</t>
  </si>
  <si>
    <t>Other 2</t>
  </si>
  <si>
    <t>Grooming</t>
  </si>
  <si>
    <t>Other 3</t>
  </si>
  <si>
    <t>Toys</t>
  </si>
  <si>
    <t>Personal care</t>
  </si>
  <si>
    <t>Hair/nails</t>
  </si>
  <si>
    <t>Clothing</t>
  </si>
  <si>
    <t>Dry cleaning</t>
  </si>
  <si>
    <t>Other 4</t>
  </si>
  <si>
    <t>Health club</t>
  </si>
  <si>
    <t>Organization dues or fees</t>
  </si>
  <si>
    <t>Total projected cost</t>
  </si>
  <si>
    <t>Total actual cost</t>
  </si>
  <si>
    <t>Total difference</t>
  </si>
  <si>
    <t>Left Over Income</t>
  </si>
  <si>
    <t xml:space="preserve"> </t>
  </si>
  <si>
    <t xml:space="preserve">Credit Card Balances </t>
  </si>
  <si>
    <t>Budgeted Amount</t>
  </si>
  <si>
    <t>Credit Karma</t>
  </si>
  <si>
    <t>Consumer Credit</t>
  </si>
  <si>
    <t>If you do not know what your interest is, check your agreement or your last statement balance.</t>
  </si>
  <si>
    <t xml:space="preserve">Credit Card </t>
  </si>
  <si>
    <t>Loan Type</t>
  </si>
  <si>
    <t>Bankrate</t>
  </si>
  <si>
    <t>Loan Amount</t>
  </si>
  <si>
    <t>Loan Repayment</t>
  </si>
  <si>
    <t>Lender</t>
  </si>
  <si>
    <t xml:space="preserve">Link </t>
  </si>
  <si>
    <t>Credit Card Repayment</t>
  </si>
  <si>
    <t xml:space="preserve">Discover </t>
  </si>
  <si>
    <t>Advantage</t>
  </si>
  <si>
    <t>Total Amount Owed</t>
  </si>
  <si>
    <t xml:space="preserve">  Total Debt Amount</t>
  </si>
  <si>
    <t>$0.00</t>
  </si>
  <si>
    <t>This amount will not be reduced from your income. This amount is used to present how much you are in debt.</t>
  </si>
  <si>
    <t>Links</t>
  </si>
  <si>
    <t>Your budget and balance is autocalculated from the Budget sheet. You will only be required to imput the interest rate manually.</t>
  </si>
  <si>
    <t xml:space="preserve">Total difference                      </t>
  </si>
  <si>
    <t>This amount will not be reduced from your income. This amount is used to present how much you are in debt. So you can complete the second tab of the spreadsheet</t>
  </si>
  <si>
    <r>
      <t>If you receive a number in parenthesis that means you have negative income. Meaning, for further months you will have to reduce your spending on certain expenses to allocate your income accordingly. The</t>
    </r>
    <r>
      <rPr>
        <b/>
        <sz val="11"/>
        <rFont val="Calibri"/>
        <family val="2"/>
        <scheme val="minor"/>
      </rPr>
      <t xml:space="preserve"> total difference</t>
    </r>
    <r>
      <rPr>
        <sz val="11"/>
        <rFont val="Calibri"/>
        <family val="2"/>
        <scheme val="minor"/>
      </rPr>
      <t xml:space="preserve"> represents how much you underbudgeted for your actual cost. The left over income is the difference between your total income and your actual cost.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</si>
</sst>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quot;#,##0.00_);[Red]\(&quot;$&quot;#,##0.00\)"/>
    <numFmt numFmtId="44" formatCode="_(&quot;$&quot;* #,##0.00_);_(&quot;$&quot;* \(#,##0.00\);_(&quot;$&quot;* &quot;-&quot;??_);_(@_)"/>
    <numFmt numFmtId="164" formatCode="&quot;$&quot;#,##0.00"/>
    <numFmt numFmtId="165" formatCode="0.0%"/>
  </numFmts>
  <fonts count="23" x14ac:knownFonts="1">
    <font>
      <sz val="11"/>
      <color theme="1"/>
      <name val="Calibri"/>
      <family val="2"/>
      <scheme val="minor"/>
    </font>
    <font>
      <b/>
      <sz val="11"/>
      <color theme="1"/>
      <name val="Calibri"/>
      <family val="2"/>
      <scheme val="minor"/>
    </font>
    <font>
      <u/>
      <sz val="11"/>
      <color theme="10"/>
      <name val="Calibri"/>
      <family val="2"/>
      <scheme val="minor"/>
    </font>
    <font>
      <b/>
      <sz val="13"/>
      <color theme="3"/>
      <name val="Calibri"/>
      <family val="2"/>
      <scheme val="minor"/>
    </font>
    <font>
      <b/>
      <sz val="11"/>
      <color theme="3"/>
      <name val="Calibri"/>
      <family val="2"/>
      <scheme val="minor"/>
    </font>
    <font>
      <sz val="12"/>
      <name val="Calibri"/>
      <family val="2"/>
      <scheme val="minor"/>
    </font>
    <font>
      <b/>
      <sz val="14"/>
      <color theme="1"/>
      <name val="Calibri"/>
      <family val="2"/>
      <scheme val="minor"/>
    </font>
    <font>
      <sz val="16"/>
      <color theme="1"/>
      <name val="Calibri"/>
      <family val="2"/>
      <scheme val="minor"/>
    </font>
    <font>
      <sz val="11"/>
      <name val="Calibri"/>
      <family val="2"/>
      <scheme val="minor"/>
    </font>
    <font>
      <b/>
      <sz val="12"/>
      <color theme="1"/>
      <name val="Calibri"/>
      <family val="2"/>
      <scheme val="minor"/>
    </font>
    <font>
      <sz val="8"/>
      <name val="Calibri"/>
      <family val="2"/>
      <scheme val="minor"/>
    </font>
    <font>
      <sz val="28"/>
      <color theme="1"/>
      <name val="Calibri"/>
      <family val="2"/>
      <scheme val="minor"/>
    </font>
    <font>
      <sz val="28"/>
      <color rgb="FF4472C4"/>
      <name val="Calibri"/>
      <scheme val="minor"/>
    </font>
    <font>
      <sz val="20"/>
      <color theme="1"/>
      <name val="Calibri"/>
      <family val="2"/>
      <scheme val="minor"/>
    </font>
    <font>
      <sz val="11"/>
      <color theme="1"/>
      <name val="Calibri"/>
      <family val="2"/>
      <scheme val="minor"/>
    </font>
    <font>
      <b/>
      <sz val="12"/>
      <name val="Calibri"/>
      <family val="2"/>
      <scheme val="minor"/>
    </font>
    <font>
      <sz val="14"/>
      <name val="Calibri"/>
      <family val="2"/>
      <scheme val="minor"/>
    </font>
    <font>
      <b/>
      <sz val="14"/>
      <name val="Calibri"/>
      <family val="2"/>
      <scheme val="minor"/>
    </font>
    <font>
      <b/>
      <sz val="11"/>
      <name val="Calibri"/>
      <family val="2"/>
      <scheme val="minor"/>
    </font>
    <font>
      <b/>
      <sz val="20"/>
      <name val="Calibri Light"/>
      <family val="2"/>
      <scheme val="major"/>
    </font>
    <font>
      <sz val="16"/>
      <name val="Calibri"/>
      <family val="2"/>
      <scheme val="minor"/>
    </font>
    <font>
      <sz val="10"/>
      <name val="Calibri Light"/>
      <family val="2"/>
      <scheme val="major"/>
    </font>
    <font>
      <sz val="12"/>
      <name val="Calibri Light"/>
      <family val="2"/>
      <scheme val="major"/>
    </font>
  </fonts>
  <fills count="11">
    <fill>
      <patternFill patternType="none"/>
    </fill>
    <fill>
      <patternFill patternType="gray125"/>
    </fill>
    <fill>
      <patternFill patternType="solid">
        <fgColor rgb="FF00B050"/>
        <bgColor indexed="64"/>
      </patternFill>
    </fill>
    <fill>
      <patternFill patternType="solid">
        <fgColor rgb="FFFF0000"/>
        <bgColor indexed="64"/>
      </patternFill>
    </fill>
    <fill>
      <patternFill patternType="solid">
        <fgColor theme="0"/>
        <bgColor indexed="64"/>
      </patternFill>
    </fill>
    <fill>
      <patternFill patternType="solid">
        <fgColor theme="0" tint="-4.9989318521683403E-2"/>
        <bgColor indexed="64"/>
      </patternFill>
    </fill>
    <fill>
      <patternFill patternType="solid">
        <fgColor theme="8" tint="0.39994506668294322"/>
        <bgColor indexed="64"/>
      </patternFill>
    </fill>
    <fill>
      <patternFill patternType="solid">
        <fgColor theme="8" tint="0.59996337778862885"/>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style="thin">
        <color indexed="64"/>
      </right>
      <top style="thin">
        <color indexed="64"/>
      </top>
      <bottom/>
      <diagonal/>
    </border>
    <border>
      <left/>
      <right style="thin">
        <color theme="0" tint="-0.499984740745262"/>
      </right>
      <top/>
      <bottom style="thin">
        <color theme="8"/>
      </bottom>
      <diagonal/>
    </border>
    <border>
      <left style="thin">
        <color theme="0" tint="-0.499984740745262"/>
      </left>
      <right/>
      <top/>
      <bottom style="thin">
        <color theme="8"/>
      </bottom>
      <diagonal/>
    </border>
    <border>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0691854609822"/>
      </right>
      <top style="thin">
        <color theme="0" tint="-0.14996795556505021"/>
      </top>
      <bottom style="thin">
        <color theme="0" tint="-0.14993743705557422"/>
      </bottom>
      <diagonal/>
    </border>
    <border>
      <left style="thin">
        <color theme="0" tint="-0.14990691854609822"/>
      </left>
      <right/>
      <top style="thin">
        <color theme="0" tint="-0.14996795556505021"/>
      </top>
      <bottom style="thin">
        <color theme="0" tint="-0.14993743705557422"/>
      </bottom>
      <diagonal/>
    </border>
  </borders>
  <cellStyleXfs count="6">
    <xf numFmtId="0" fontId="0" fillId="0" borderId="0"/>
    <xf numFmtId="0" fontId="2" fillId="0" borderId="0" applyNumberFormat="0" applyFill="0" applyBorder="0" applyAlignment="0" applyProtection="0"/>
    <xf numFmtId="0" fontId="3" fillId="0" borderId="2" applyNumberFormat="0" applyFill="0" applyAlignment="0" applyProtection="0"/>
    <xf numFmtId="0" fontId="4" fillId="0" borderId="3" applyNumberFormat="0" applyFill="0" applyAlignment="0" applyProtection="0"/>
    <xf numFmtId="44" fontId="14" fillId="0" borderId="0" applyFont="0" applyFill="0" applyBorder="0" applyAlignment="0" applyProtection="0"/>
    <xf numFmtId="9" fontId="14" fillId="0" borderId="0" applyFont="0" applyFill="0" applyBorder="0" applyAlignment="0" applyProtection="0"/>
  </cellStyleXfs>
  <cellXfs count="86">
    <xf numFmtId="0" fontId="0" fillId="0" borderId="0" xfId="0"/>
    <xf numFmtId="0" fontId="1" fillId="0" borderId="0" xfId="0" applyFont="1"/>
    <xf numFmtId="0" fontId="0" fillId="3" borderId="0" xfId="0" applyFill="1"/>
    <xf numFmtId="0" fontId="2" fillId="0" borderId="0" xfId="1"/>
    <xf numFmtId="164" fontId="5" fillId="0" borderId="0" xfId="0" applyNumberFormat="1" applyFont="1" applyAlignment="1">
      <alignment horizontal="center" vertical="center"/>
    </xf>
    <xf numFmtId="0" fontId="0" fillId="0" borderId="0" xfId="0" applyAlignment="1">
      <alignment wrapText="1"/>
    </xf>
    <xf numFmtId="0" fontId="7" fillId="0" borderId="0" xfId="0" applyFont="1"/>
    <xf numFmtId="0" fontId="9" fillId="3" borderId="0" xfId="0" applyFont="1" applyFill="1"/>
    <xf numFmtId="0" fontId="11" fillId="0" borderId="0" xfId="0" applyFont="1" applyAlignment="1">
      <alignment horizontal="center"/>
    </xf>
    <xf numFmtId="10" fontId="0" fillId="0" borderId="0" xfId="0" applyNumberFormat="1"/>
    <xf numFmtId="44" fontId="0" fillId="0" borderId="0" xfId="4" applyFont="1"/>
    <xf numFmtId="0" fontId="8" fillId="2" borderId="1" xfId="0" applyFont="1" applyFill="1" applyBorder="1"/>
    <xf numFmtId="0" fontId="8" fillId="0" borderId="0" xfId="0" applyFont="1"/>
    <xf numFmtId="0" fontId="8" fillId="3" borderId="0" xfId="0" applyFont="1" applyFill="1"/>
    <xf numFmtId="0" fontId="8" fillId="0" borderId="1" xfId="0" applyFont="1" applyBorder="1"/>
    <xf numFmtId="0" fontId="8" fillId="0" borderId="4" xfId="0" applyFont="1" applyBorder="1"/>
    <xf numFmtId="0" fontId="20" fillId="4" borderId="7" xfId="2" applyFont="1" applyFill="1" applyBorder="1" applyAlignment="1">
      <alignment horizontal="left" vertical="center" indent="1"/>
    </xf>
    <xf numFmtId="8" fontId="5" fillId="4" borderId="8" xfId="0" applyNumberFormat="1" applyFont="1" applyFill="1" applyBorder="1" applyAlignment="1">
      <alignment horizontal="center" vertical="center"/>
    </xf>
    <xf numFmtId="8" fontId="5" fillId="4" borderId="9" xfId="0" applyNumberFormat="1" applyFont="1" applyFill="1" applyBorder="1" applyAlignment="1">
      <alignment horizontal="center" vertical="center"/>
    </xf>
    <xf numFmtId="0" fontId="17" fillId="5" borderId="10" xfId="2" applyFont="1" applyFill="1" applyBorder="1" applyAlignment="1">
      <alignment horizontal="left" vertical="center" indent="1"/>
    </xf>
    <xf numFmtId="8" fontId="15" fillId="5" borderId="11" xfId="0" applyNumberFormat="1" applyFont="1" applyFill="1" applyBorder="1" applyAlignment="1">
      <alignment horizontal="center" vertical="center"/>
    </xf>
    <xf numFmtId="0" fontId="19" fillId="4" borderId="0" xfId="2" applyFont="1" applyFill="1" applyBorder="1" applyAlignment="1">
      <alignment horizontal="left" vertical="center" indent="1"/>
    </xf>
    <xf numFmtId="0" fontId="19" fillId="0" borderId="0" xfId="0" applyFont="1" applyAlignment="1">
      <alignment horizontal="left" vertical="center" indent="1"/>
    </xf>
    <xf numFmtId="0" fontId="21" fillId="0" borderId="0" xfId="0" applyFont="1" applyAlignment="1">
      <alignment horizontal="left" vertical="center" indent="1"/>
    </xf>
    <xf numFmtId="0" fontId="21" fillId="0" borderId="0" xfId="0" applyFont="1"/>
    <xf numFmtId="0" fontId="17" fillId="0" borderId="0" xfId="0" applyFont="1" applyAlignment="1">
      <alignment horizontal="left" vertical="center" wrapText="1" indent="1"/>
    </xf>
    <xf numFmtId="0" fontId="17" fillId="0" borderId="0" xfId="0" applyFont="1" applyAlignment="1">
      <alignment horizontal="center" vertical="center" wrapText="1"/>
    </xf>
    <xf numFmtId="0" fontId="17" fillId="0" borderId="0" xfId="0" applyFont="1" applyAlignment="1">
      <alignment horizontal="center" vertical="center"/>
    </xf>
    <xf numFmtId="0" fontId="5" fillId="0" borderId="0" xfId="0" applyFont="1"/>
    <xf numFmtId="0" fontId="17" fillId="4" borderId="0" xfId="0" applyFont="1" applyFill="1" applyAlignment="1">
      <alignment horizontal="center" vertical="center" wrapText="1"/>
    </xf>
    <xf numFmtId="0" fontId="17" fillId="4" borderId="0" xfId="0" applyFont="1" applyFill="1" applyAlignment="1">
      <alignment horizontal="center" vertical="center"/>
    </xf>
    <xf numFmtId="0" fontId="5" fillId="0" borderId="0" xfId="0" applyFont="1" applyAlignment="1">
      <alignment horizontal="left" vertical="center" indent="1"/>
    </xf>
    <xf numFmtId="0" fontId="5" fillId="4" borderId="0" xfId="0" applyFont="1" applyFill="1" applyAlignment="1">
      <alignment horizontal="left" vertical="center" indent="1"/>
    </xf>
    <xf numFmtId="164" fontId="5" fillId="4" borderId="0" xfId="0" applyNumberFormat="1" applyFont="1" applyFill="1" applyAlignment="1">
      <alignment horizontal="center" vertical="center"/>
    </xf>
    <xf numFmtId="0" fontId="17" fillId="5" borderId="0" xfId="0" applyFont="1" applyFill="1" applyAlignment="1">
      <alignment horizontal="left" vertical="center" indent="1"/>
    </xf>
    <xf numFmtId="164" fontId="5" fillId="5" borderId="0" xfId="0" applyNumberFormat="1" applyFont="1" applyFill="1" applyAlignment="1">
      <alignment horizontal="center" vertical="center"/>
    </xf>
    <xf numFmtId="164" fontId="15" fillId="5" borderId="0" xfId="0" applyNumberFormat="1" applyFont="1" applyFill="1" applyAlignment="1">
      <alignment horizontal="center" vertical="center"/>
    </xf>
    <xf numFmtId="0" fontId="17" fillId="0" borderId="0" xfId="0" applyFont="1" applyAlignment="1">
      <alignment horizontal="left" vertical="center" indent="1"/>
    </xf>
    <xf numFmtId="0" fontId="5" fillId="0" borderId="0" xfId="0" applyFont="1" applyAlignment="1">
      <alignment horizontal="center"/>
    </xf>
    <xf numFmtId="0" fontId="17" fillId="4" borderId="0" xfId="0" applyFont="1" applyFill="1" applyAlignment="1">
      <alignment horizontal="left" vertical="center" indent="1"/>
    </xf>
    <xf numFmtId="0" fontId="22" fillId="0" borderId="0" xfId="0" applyFont="1"/>
    <xf numFmtId="0" fontId="17" fillId="0" borderId="0" xfId="0" applyFont="1" applyAlignment="1">
      <alignment vertical="center"/>
    </xf>
    <xf numFmtId="44" fontId="8" fillId="0" borderId="0" xfId="4" applyFont="1"/>
    <xf numFmtId="44" fontId="18" fillId="3" borderId="0" xfId="4" applyFont="1" applyFill="1"/>
    <xf numFmtId="164" fontId="5" fillId="4" borderId="0" xfId="0" applyNumberFormat="1" applyFont="1" applyFill="1" applyAlignment="1">
      <alignment horizontal="left" vertical="center" indent="1"/>
    </xf>
    <xf numFmtId="0" fontId="17" fillId="4" borderId="0" xfId="0" applyFont="1" applyFill="1" applyAlignment="1">
      <alignment vertical="center"/>
    </xf>
    <xf numFmtId="164" fontId="5" fillId="4" borderId="0" xfId="0" applyNumberFormat="1" applyFont="1" applyFill="1" applyAlignment="1">
      <alignment vertical="center"/>
    </xf>
    <xf numFmtId="0" fontId="15" fillId="4" borderId="0" xfId="0" applyFont="1" applyFill="1" applyAlignment="1">
      <alignment horizontal="left" vertical="center" indent="1"/>
    </xf>
    <xf numFmtId="164" fontId="5" fillId="4" borderId="0" xfId="0" applyNumberFormat="1" applyFont="1" applyFill="1" applyAlignment="1">
      <alignment horizontal="left" vertical="center"/>
    </xf>
    <xf numFmtId="0" fontId="15" fillId="0" borderId="0" xfId="0" applyFont="1" applyAlignment="1">
      <alignment vertical="center"/>
    </xf>
    <xf numFmtId="164" fontId="5" fillId="0" borderId="0" xfId="0" applyNumberFormat="1" applyFont="1" applyAlignment="1">
      <alignment vertical="center"/>
    </xf>
    <xf numFmtId="164" fontId="17" fillId="5" borderId="0" xfId="0" applyNumberFormat="1" applyFont="1" applyFill="1" applyAlignment="1">
      <alignment horizontal="center" vertical="center"/>
    </xf>
    <xf numFmtId="164" fontId="17" fillId="4" borderId="0" xfId="0" applyNumberFormat="1" applyFont="1" applyFill="1" applyAlignment="1">
      <alignment vertical="center"/>
    </xf>
    <xf numFmtId="0" fontId="15" fillId="4" borderId="0" xfId="0" applyFont="1" applyFill="1" applyAlignment="1">
      <alignment vertical="center"/>
    </xf>
    <xf numFmtId="0" fontId="8" fillId="0" borderId="0" xfId="0" applyFont="1" applyAlignment="1">
      <alignment horizontal="center"/>
    </xf>
    <xf numFmtId="164" fontId="8" fillId="0" borderId="0" xfId="0" applyNumberFormat="1" applyFont="1"/>
    <xf numFmtId="164" fontId="5" fillId="0" borderId="0" xfId="0" applyNumberFormat="1" applyFont="1" applyAlignment="1">
      <alignment horizontal="left" vertical="center" indent="1"/>
    </xf>
    <xf numFmtId="44" fontId="2" fillId="0" borderId="0" xfId="4" applyFont="1"/>
    <xf numFmtId="165" fontId="0" fillId="0" borderId="0" xfId="5" applyNumberFormat="1" applyFont="1"/>
    <xf numFmtId="165" fontId="2" fillId="0" borderId="0" xfId="5" applyNumberFormat="1" applyFont="1"/>
    <xf numFmtId="0" fontId="6" fillId="3" borderId="0" xfId="0" applyFont="1" applyFill="1"/>
    <xf numFmtId="8" fontId="8" fillId="0" borderId="0" xfId="0" applyNumberFormat="1" applyFont="1"/>
    <xf numFmtId="9" fontId="0" fillId="0" borderId="0" xfId="0" applyNumberFormat="1"/>
    <xf numFmtId="0" fontId="8" fillId="0" borderId="0" xfId="0" applyFont="1" applyAlignment="1">
      <alignment horizontal="center" vertical="center" wrapText="1"/>
    </xf>
    <xf numFmtId="0" fontId="12" fillId="0" borderId="0" xfId="0" applyFont="1" applyAlignment="1">
      <alignment horizontal="center"/>
    </xf>
    <xf numFmtId="0" fontId="11" fillId="0" borderId="0" xfId="0" applyFont="1" applyAlignment="1">
      <alignment horizontal="center"/>
    </xf>
    <xf numFmtId="0" fontId="8" fillId="10" borderId="0" xfId="0" applyFont="1" applyFill="1" applyAlignment="1">
      <alignment horizontal="center" vertical="center" wrapText="1"/>
    </xf>
    <xf numFmtId="0" fontId="17" fillId="3" borderId="0" xfId="0" applyFont="1" applyFill="1" applyAlignment="1">
      <alignment horizontal="left" vertical="center"/>
    </xf>
    <xf numFmtId="44" fontId="17" fillId="3" borderId="0" xfId="4" applyFont="1" applyFill="1" applyAlignment="1">
      <alignment horizontal="center" vertical="center"/>
    </xf>
    <xf numFmtId="0" fontId="15" fillId="3" borderId="0" xfId="0" applyFont="1" applyFill="1" applyAlignment="1">
      <alignment horizontal="center" wrapText="1"/>
    </xf>
    <xf numFmtId="0" fontId="19" fillId="4" borderId="5" xfId="3" applyFont="1" applyFill="1" applyBorder="1" applyAlignment="1">
      <alignment horizontal="left" vertical="center" indent="1"/>
    </xf>
    <xf numFmtId="0" fontId="19" fillId="4" borderId="6" xfId="3" applyFont="1" applyFill="1" applyBorder="1" applyAlignment="1">
      <alignment horizontal="left" vertical="center" indent="1"/>
    </xf>
    <xf numFmtId="0" fontId="19" fillId="4" borderId="0" xfId="0" applyFont="1" applyFill="1" applyAlignment="1">
      <alignment horizontal="left" vertical="center" indent="1"/>
    </xf>
    <xf numFmtId="0" fontId="19" fillId="0" borderId="0" xfId="0" applyFont="1" applyAlignment="1">
      <alignment horizontal="left" vertical="center" indent="1"/>
    </xf>
    <xf numFmtId="0" fontId="5" fillId="0" borderId="0" xfId="0" applyFont="1" applyAlignment="1">
      <alignment horizontal="center"/>
    </xf>
    <xf numFmtId="0" fontId="19" fillId="4" borderId="0" xfId="0" applyFont="1" applyFill="1" applyAlignment="1">
      <alignment vertical="center"/>
    </xf>
    <xf numFmtId="0" fontId="17" fillId="6" borderId="0" xfId="2" applyFont="1" applyFill="1" applyBorder="1" applyAlignment="1">
      <alignment horizontal="left" vertical="center" wrapText="1" indent="1"/>
    </xf>
    <xf numFmtId="8" fontId="17" fillId="9" borderId="0" xfId="0" applyNumberFormat="1" applyFont="1" applyFill="1" applyAlignment="1">
      <alignment horizontal="center" wrapText="1"/>
    </xf>
    <xf numFmtId="8" fontId="16" fillId="6" borderId="0" xfId="0" applyNumberFormat="1" applyFont="1" applyFill="1" applyAlignment="1">
      <alignment horizontal="center" vertical="center"/>
    </xf>
    <xf numFmtId="0" fontId="17" fillId="7" borderId="0" xfId="2" applyFont="1" applyFill="1" applyBorder="1" applyAlignment="1">
      <alignment horizontal="left" vertical="center" wrapText="1" indent="1"/>
    </xf>
    <xf numFmtId="8" fontId="16" fillId="7" borderId="0" xfId="0" applyNumberFormat="1" applyFont="1" applyFill="1" applyAlignment="1">
      <alignment horizontal="center" vertical="center"/>
    </xf>
    <xf numFmtId="0" fontId="17" fillId="8" borderId="0" xfId="2" applyFont="1" applyFill="1" applyBorder="1" applyAlignment="1">
      <alignment horizontal="left" vertical="center" wrapText="1" indent="1"/>
    </xf>
    <xf numFmtId="8" fontId="17" fillId="8" borderId="0" xfId="0" applyNumberFormat="1" applyFont="1" applyFill="1" applyAlignment="1">
      <alignment horizontal="center" vertical="center"/>
    </xf>
    <xf numFmtId="0" fontId="6" fillId="3" borderId="0" xfId="0" applyFont="1" applyFill="1" applyAlignment="1">
      <alignment horizontal="left"/>
    </xf>
    <xf numFmtId="0" fontId="13" fillId="10" borderId="0" xfId="0" applyFont="1" applyFill="1" applyAlignment="1">
      <alignment horizontal="left"/>
    </xf>
    <xf numFmtId="0" fontId="13" fillId="10" borderId="0" xfId="0" applyFont="1" applyFill="1"/>
  </cellXfs>
  <cellStyles count="6">
    <cellStyle name="Currency" xfId="4" builtinId="4"/>
    <cellStyle name="Heading 2" xfId="2" builtinId="17"/>
    <cellStyle name="Heading 3" xfId="3" builtinId="18"/>
    <cellStyle name="Hyperlink" xfId="1" builtinId="8"/>
    <cellStyle name="Normal" xfId="0" builtinId="0"/>
    <cellStyle name="Percent" xfId="5" builtinId="5"/>
  </cellStyles>
  <dxfs count="2176">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b/>
        <i val="0"/>
        <strike val="0"/>
        <outline val="0"/>
        <shadow val="0"/>
        <u val="none"/>
        <vertAlign val="baseline"/>
        <sz val="14"/>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font>
        <b val="0"/>
        <i val="0"/>
        <strike val="0"/>
        <outline val="0"/>
        <shadow val="0"/>
        <u val="none"/>
        <vertAlign val="baseline"/>
        <sz val="12"/>
        <color auto="1"/>
        <name val="Calibri"/>
        <scheme val="none"/>
      </font>
      <fill>
        <patternFill>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1" justifyLastLine="0" shrinkToFit="0" readingOrder="0"/>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wrapText="0" indent="0" justifyLastLine="0" shrinkToFit="0" readingOrder="0"/>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alignment horizontal="left" vertical="center" textRotation="0" wrapText="0" indent="0"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border diagonalUp="0" diagonalDown="0" outline="0">
        <left style="thin">
          <color rgb="FFD9D9D9"/>
        </left>
        <right style="thin">
          <color rgb="FFD9D9D9"/>
        </right>
        <top/>
        <bottom/>
      </border>
    </dxf>
    <dxf>
      <border diagonalUp="0" diagonalDown="0">
        <left/>
        <right/>
        <top/>
        <bottom/>
      </border>
    </dxf>
    <dxf>
      <font>
        <strike val="0"/>
        <outline val="0"/>
        <shadow val="0"/>
        <u val="none"/>
        <vertAlign val="baseline"/>
        <sz val="12"/>
        <color auto="1"/>
        <name val="Calibri"/>
        <scheme val="none"/>
      </font>
      <fill>
        <patternFill patternType="solid">
          <fgColor rgb="FF000000"/>
          <bgColor rgb="FFFFFFFF"/>
        </patternFill>
      </fill>
    </dxf>
    <dxf>
      <border>
        <bottom style="thin">
          <color rgb="FFD9D9D9"/>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bottom/>
      </border>
    </dxf>
    <dxf>
      <font>
        <b val="0"/>
        <i val="0"/>
        <strike val="0"/>
        <outline val="0"/>
        <shadow val="0"/>
        <u val="none"/>
        <vertAlign val="baseline"/>
        <sz val="12"/>
        <color auto="1"/>
        <name val="Calibri"/>
        <scheme val="none"/>
      </font>
      <fill>
        <patternFill patternType="solid">
          <fgColor rgb="FF000000"/>
          <bgColor rgb="FFFFFFFF"/>
        </patternFill>
      </fill>
      <alignment horizontal="left" vertical="center" textRotation="0" indent="1" justifyLastLine="0" shrinkToFit="0" readingOrder="0"/>
    </dxf>
    <dxf>
      <border>
        <bottom style="thin">
          <color rgb="FFD9D9D9"/>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rgb="FFD9D9D9"/>
        </top>
      </border>
    </dxf>
    <dxf>
      <font>
        <strike val="0"/>
        <outline val="0"/>
        <shadow val="0"/>
        <u val="none"/>
        <vertAlign val="baseline"/>
        <sz val="12"/>
        <color auto="1"/>
        <name val="Calibri"/>
        <scheme val="none"/>
      </font>
      <fill>
        <patternFill patternType="solid">
          <fgColor rgb="FF000000"/>
          <bgColor rgb="FFF2F2F2"/>
        </patternFill>
      </fill>
      <alignment horizontal="left" vertical="center" textRotation="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border>
    </dxf>
    <dxf>
      <font>
        <b val="0"/>
        <i val="0"/>
        <strike val="0"/>
        <outline val="0"/>
        <shadow val="0"/>
        <u val="none"/>
        <vertAlign val="baseline"/>
        <sz val="12"/>
        <color auto="1"/>
        <name val="Calibri"/>
        <scheme val="none"/>
      </font>
      <alignment horizontal="left" vertical="center" textRotation="0" indent="1" justifyLastLine="0" shrinkToFit="0" readingOrder="0"/>
    </dxf>
    <dxf>
      <border>
        <bottom style="thin">
          <color rgb="FFD9D9D9"/>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rgb="FFD9D9D9"/>
        </top>
      </border>
    </dxf>
    <dxf>
      <font>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border diagonalUp="0" diagonalDown="0" outline="0">
        <left style="thin">
          <color rgb="FFD9D9D9"/>
        </left>
        <right style="thin">
          <color rgb="FFD9D9D9"/>
        </right>
        <top/>
        <bottom/>
      </border>
    </dxf>
    <dxf>
      <border diagonalUp="0" diagonalDown="0">
        <left/>
        <right/>
        <top style="thin">
          <color rgb="FF5B9BD5"/>
        </top>
        <bottom style="thin">
          <color rgb="FFD9D9D9"/>
        </bottom>
      </border>
    </dxf>
    <dxf>
      <font>
        <b val="0"/>
        <i val="0"/>
        <strike val="0"/>
        <outline val="0"/>
        <shadow val="0"/>
        <u val="none"/>
        <vertAlign val="baseline"/>
        <sz val="12"/>
        <color auto="1"/>
        <name val="Calibri"/>
        <scheme val="none"/>
      </font>
      <fill>
        <patternFill patternType="none">
          <fgColor rgb="FF000000"/>
          <bgColor auto="1"/>
        </patternFill>
      </fill>
      <alignment horizontal="left" vertical="center" textRotation="0" wrapText="0" indent="1" justifyLastLine="0" shrinkToFit="0" readingOrder="0"/>
    </dxf>
    <dxf>
      <border>
        <bottom style="thin">
          <color rgb="FFD9D9D9"/>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numFmt numFmtId="165" formatCode="0.0%"/>
    </dxf>
    <dxf>
      <font>
        <strike val="0"/>
        <outline val="0"/>
        <shadow val="0"/>
        <u val="none"/>
        <vertAlign val="baseline"/>
        <color auto="1"/>
      </font>
    </dxf>
    <dxf>
      <font>
        <strike val="0"/>
        <outline val="0"/>
        <shadow val="0"/>
        <u val="none"/>
        <vertAlign val="baseline"/>
        <color auto="1"/>
      </font>
    </dxf>
    <dxf>
      <font>
        <strike val="0"/>
        <outline val="0"/>
        <shadow val="0"/>
        <u val="none"/>
        <vertAlign val="baseline"/>
        <color auto="1"/>
      </font>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b val="0"/>
        <i val="0"/>
        <strike val="0"/>
        <outline val="0"/>
        <shadow val="0"/>
        <u val="none"/>
        <vertAlign val="baseline"/>
        <sz val="12"/>
        <color auto="1"/>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3743705557422"/>
        </top>
      </border>
    </dxf>
    <dxf>
      <font>
        <strike val="0"/>
        <outline val="0"/>
        <shadow val="0"/>
        <u val="none"/>
        <vertAlign val="baseline"/>
        <sz val="12"/>
        <color auto="1"/>
        <name val="Calibri"/>
        <scheme val="minor"/>
      </font>
      <fill>
        <patternFill patternType="solid">
          <fgColor indexed="64"/>
          <bgColor theme="0" tint="-4.9989318521683403E-2"/>
        </patternFill>
      </fill>
      <border diagonalUp="0" diagonalDown="0" outline="0">
        <left style="thin">
          <color theme="0" tint="-0.14990691854609822"/>
        </left>
        <right style="thin">
          <color theme="0" tint="-0.14990691854609822"/>
        </right>
        <top/>
        <bottom/>
      </border>
    </dxf>
    <dxf>
      <font>
        <b val="0"/>
        <i val="0"/>
        <strike val="0"/>
        <outline val="0"/>
        <shadow val="0"/>
        <u val="none"/>
        <vertAlign val="baseline"/>
        <sz val="12"/>
        <color auto="1"/>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b/>
        <i val="0"/>
        <strike val="0"/>
        <outline val="0"/>
        <shadow val="0"/>
        <u val="none"/>
        <vertAlign val="baseline"/>
        <sz val="14"/>
        <color auto="1"/>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strike val="0"/>
        <outline val="0"/>
        <shadow val="0"/>
        <u val="none"/>
        <vertAlign val="baseline"/>
        <sz val="12"/>
        <color auto="1"/>
        <name val="Calibri"/>
        <scheme val="minor"/>
      </font>
      <fill>
        <patternFill patternType="solid">
          <fgColor indexed="64"/>
          <bgColor theme="0"/>
        </patternFill>
      </fill>
    </dxf>
    <dxf>
      <border>
        <bottom style="thin">
          <color theme="0" tint="-0.14996795556505021"/>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b val="0"/>
        <i val="0"/>
        <strike val="0"/>
        <outline val="0"/>
        <shadow val="0"/>
        <u val="none"/>
        <vertAlign val="baseline"/>
        <sz val="12"/>
        <color auto="1"/>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border diagonalUp="0" diagonalDown="0">
        <left/>
        <right/>
        <top/>
        <bottom/>
      </border>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bottom style="thin">
          <color theme="0" tint="-0.14996795556505021"/>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border diagonalUp="0" diagonalDown="0" outline="0">
        <left style="thin">
          <color theme="0" tint="-0.14993743705557422"/>
        </left>
        <right style="thin">
          <color theme="0" tint="-0.14993743705557422"/>
        </right>
        <top/>
        <bottom/>
      </border>
    </dxf>
    <dxf>
      <font>
        <b val="0"/>
        <i val="0"/>
        <strike val="0"/>
        <outline val="0"/>
        <shadow val="0"/>
        <u val="none"/>
        <vertAlign val="baseline"/>
        <sz val="12"/>
        <color auto="1"/>
        <name val="Calibri"/>
        <scheme val="minor"/>
      </font>
      <fill>
        <patternFill>
          <fgColor indexed="64"/>
          <bgColor theme="0"/>
        </patternFill>
      </fill>
    </dxf>
    <dxf>
      <border>
        <bottom style="thin">
          <color theme="0" tint="-0.14996795556505021"/>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alignment horizontal="left" vertical="center" textRotation="0" wrapText="0" indent="1" justifyLastLine="0" shrinkToFit="0" readingOrder="0"/>
      <border diagonalUp="0" diagonalDown="0" outline="0">
        <left style="thin">
          <color theme="0" tint="-0.14990691854609822"/>
        </left>
        <right style="thin">
          <color theme="0" tint="-0.14990691854609822"/>
        </right>
        <top/>
        <bottom/>
      </border>
    </dxf>
    <dxf>
      <border diagonalUp="0" diagonalDown="0">
        <left/>
        <right/>
        <top/>
        <bottom/>
      </border>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bottom style="thin">
          <color theme="0" tint="-0.14996795556505021"/>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alignment horizontal="left" vertical="center" textRotation="0" wrapText="0" indent="0" justifyLastLine="0" shrinkToFit="0" readingOrder="0"/>
      <border diagonalUp="0" diagonalDown="0" outline="0">
        <left style="thin">
          <color theme="0" tint="-0.14990691854609822"/>
        </left>
        <right style="thin">
          <color theme="0" tint="-0.14990691854609822"/>
        </right>
        <top/>
        <bottom/>
      </border>
    </dxf>
    <dxf>
      <border diagonalUp="0" diagonalDown="0">
        <left/>
        <right/>
        <top/>
        <bottom/>
      </border>
    </dxf>
    <dxf>
      <font>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dxf>
    <dxf>
      <border>
        <bottom style="thin">
          <color theme="0" tint="-0.14996795556505021"/>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auto="1"/>
        <name val="Calibri"/>
        <scheme val="minor"/>
      </font>
      <fill>
        <patternFill patternType="solid">
          <fgColor indexed="64"/>
          <bgColor theme="0"/>
        </patternFill>
      </fill>
      <alignment horizontal="general" vertical="center" textRotation="0" wrapText="0" indent="0"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border diagonalUp="0" diagonalDown="0" outline="0">
        <left style="thin">
          <color theme="0" tint="-0.14990691854609822"/>
        </left>
        <right style="thin">
          <color theme="0" tint="-0.14990691854609822"/>
        </right>
        <top/>
        <bottom/>
      </border>
    </dxf>
    <dxf>
      <border diagonalUp="0" diagonalDown="0">
        <left/>
        <right/>
        <top/>
        <bottom/>
      </border>
    </dxf>
    <dxf>
      <font>
        <strike val="0"/>
        <outline val="0"/>
        <shadow val="0"/>
        <u val="none"/>
        <vertAlign val="baseline"/>
        <sz val="12"/>
        <color auto="1"/>
        <name val="Calibri"/>
        <scheme val="minor"/>
      </font>
      <fill>
        <patternFill patternType="solid">
          <fgColor indexed="64"/>
          <bgColor theme="0"/>
        </patternFill>
      </fill>
    </dxf>
    <dxf>
      <border>
        <bottom style="thin">
          <color theme="0" tint="-0.14996795556505021"/>
        </bottom>
      </border>
    </dxf>
    <dxf>
      <font>
        <b/>
        <i val="0"/>
        <strike val="0"/>
        <condense val="0"/>
        <extend val="0"/>
        <outline val="0"/>
        <shadow val="0"/>
        <u val="none"/>
        <vertAlign val="baseline"/>
        <sz val="14"/>
        <color auto="1"/>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alignment horizontal="left" vertical="center" textRotation="0" indent="1" justifyLastLine="0" shrinkToFit="0" readingOrder="0"/>
      <border diagonalUp="0" diagonalDown="0" outline="0">
        <left style="thin">
          <color theme="0" tint="-0.14990691854609822"/>
        </left>
        <right style="thin">
          <color theme="0" tint="-0.14990691854609822"/>
        </right>
        <top/>
        <bottom/>
      </border>
    </dxf>
    <dxf>
      <border diagonalUp="0" diagonalDown="0">
        <left/>
        <right/>
        <bottom/>
      </border>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indent="1" justifyLastLine="0" shrinkToFit="0" readingOrder="0"/>
    </dxf>
    <dxf>
      <border>
        <bottom style="thin">
          <color theme="0" tint="-0.14996795556505021"/>
        </bottom>
      </border>
    </dxf>
    <dxf>
      <font>
        <b val="0"/>
        <i val="0"/>
        <strike val="0"/>
        <condense val="0"/>
        <extend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auto="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auto="1"/>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auto="1"/>
        <name val="Calibri"/>
        <scheme val="minor"/>
      </font>
      <fill>
        <patternFill patternType="solid">
          <fgColor indexed="64"/>
          <bgColor theme="0" tint="-4.9989318521683403E-2"/>
        </patternFill>
      </fill>
      <alignment horizontal="left" vertical="center" textRotation="0" indent="1" justifyLastLine="0" shrinkToFit="0" readingOrder="0"/>
      <border diagonalUp="0" diagonalDown="0" outline="0">
        <left style="thin">
          <color theme="0" tint="-0.14996795556505021"/>
        </left>
        <right style="thin">
          <color theme="0" tint="-0.14996795556505021"/>
        </right>
        <top/>
        <bottom/>
      </border>
    </dxf>
    <dxf>
      <border diagonalUp="0" diagonalDown="0">
        <left/>
        <right/>
        <top style="thin">
          <color theme="8"/>
        </top>
        <bottom/>
      </border>
    </dxf>
    <dxf>
      <font>
        <b val="0"/>
        <i val="0"/>
        <strike val="0"/>
        <outline val="0"/>
        <shadow val="0"/>
        <u val="none"/>
        <vertAlign val="baseline"/>
        <sz val="12"/>
        <color auto="1"/>
        <name val="Calibri"/>
        <scheme val="minor"/>
      </font>
      <alignment horizontal="left" vertical="center" textRotation="0" indent="1" justifyLastLine="0" shrinkToFit="0" readingOrder="0"/>
    </dxf>
    <dxf>
      <border>
        <bottom style="thin">
          <color theme="0" tint="-0.14996795556505021"/>
        </bottom>
      </border>
    </dxf>
    <dxf>
      <font>
        <b/>
        <i val="0"/>
        <strike val="0"/>
        <outline val="0"/>
        <shadow val="0"/>
        <u val="none"/>
        <vertAlign val="baseline"/>
        <sz val="14"/>
        <color auto="1"/>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font>
        <b/>
        <i val="0"/>
        <strike val="0"/>
        <condense val="0"/>
        <extend val="0"/>
        <outline val="0"/>
        <shadow val="0"/>
        <u val="none"/>
        <vertAlign val="baseline"/>
        <sz val="14"/>
        <color auto="1"/>
        <name val="Calibri"/>
        <family val="2"/>
        <scheme val="minor"/>
      </font>
      <alignment horizontal="left" vertical="center" textRotation="0" wrapText="0" indent="1" justifyLastLine="0" shrinkToFit="0" readingOrder="0"/>
    </dxf>
    <dxf>
      <font>
        <b val="0"/>
        <i val="0"/>
        <strike val="0"/>
        <outline val="0"/>
        <shadow val="0"/>
        <u val="none"/>
        <vertAlign val="baseline"/>
        <sz val="12"/>
        <color auto="1"/>
        <name val="Calibri"/>
        <scheme val="minor"/>
      </font>
      <fill>
        <patternFill patternType="none">
          <fgColor indexed="64"/>
          <bgColor auto="1"/>
        </patternFill>
      </fill>
    </dxf>
    <dxf>
      <border>
        <top style="thin">
          <color theme="0" tint="-0.14996795556505021"/>
        </top>
      </border>
    </dxf>
    <dxf>
      <font>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3743705557422"/>
        </left>
        <right style="thin">
          <color theme="0" tint="-0.14993743705557422"/>
        </right>
        <top/>
        <bottom/>
      </border>
    </dxf>
    <dxf>
      <border diagonalUp="0" diagonalDown="0">
        <left/>
        <right/>
        <top style="thin">
          <color theme="8"/>
        </top>
        <bottom style="thin">
          <color theme="0" tint="-0.14996795556505021"/>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dxf>
    <dxf>
      <border>
        <bottom style="thin">
          <color theme="0" tint="-0.14996795556505021"/>
        </bottom>
      </border>
    </dxf>
    <dxf>
      <font>
        <b val="0"/>
        <i val="0"/>
        <strike val="0"/>
        <outline val="0"/>
        <shadow val="0"/>
        <u val="none"/>
        <vertAlign val="baseline"/>
        <sz val="12"/>
        <color auto="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alignment horizontal="general" vertical="bottom" textRotation="0" wrapText="1" indent="0" justifyLastLine="0" shrinkToFit="0" readingOrder="0"/>
    </dxf>
    <dxf>
      <font>
        <b/>
      </font>
    </dxf>
    <dxf>
      <font>
        <strike val="0"/>
        <outline val="0"/>
        <shadow val="0"/>
        <u val="none"/>
        <vertAlign val="baseline"/>
        <sz val="16"/>
        <color theme="1"/>
        <name val="Calibri"/>
        <family val="2"/>
        <scheme val="minor"/>
      </font>
    </dxf>
    <dxf>
      <font>
        <b/>
        <i val="0"/>
      </font>
      <fill>
        <patternFill>
          <bgColor theme="0" tint="-4.9989318521683403E-2"/>
        </patternFill>
      </fill>
      <border diagonalUp="0" diagonalDown="0">
        <left/>
        <right/>
        <top style="thin">
          <color theme="0" tint="-0.14996795556505021"/>
        </top>
        <bottom style="thin">
          <color theme="0" tint="-0.14996795556505021"/>
        </bottom>
        <vertical style="thin">
          <color theme="0" tint="-0.14996795556505021"/>
        </vertical>
        <horizontal style="thin">
          <color theme="0" tint="-0.14996795556505021"/>
        </horizontal>
      </border>
    </dxf>
    <dxf>
      <font>
        <color auto="1"/>
      </font>
      <fill>
        <patternFill patternType="none">
          <bgColor auto="1"/>
        </patternFill>
      </fill>
      <border diagonalUp="0" diagonalDown="0">
        <left/>
        <right/>
        <top style="thin">
          <color theme="8"/>
        </top>
        <bottom style="thin">
          <color theme="0" tint="-0.14996795556505021"/>
        </bottom>
        <vertical/>
        <horizontal/>
      </border>
    </dxf>
    <dxf>
      <font>
        <b val="0"/>
        <i val="0"/>
        <color auto="1"/>
      </font>
      <fill>
        <patternFill patternType="none">
          <bgColor auto="1"/>
        </patternFill>
      </fill>
      <border diagonalUp="0" diagonalDown="0">
        <left/>
        <right/>
        <top style="thin">
          <color theme="8"/>
        </top>
        <bottom style="thin">
          <color theme="0" tint="-0.14996795556505021"/>
        </bottom>
        <vertical style="thin">
          <color theme="0" tint="-0.14996795556505021"/>
        </vertical>
        <horizontal style="thin">
          <color theme="0" tint="-0.14996795556505021"/>
        </horizontal>
      </border>
    </dxf>
  </dxfs>
  <tableStyles count="1" defaultTableStyle="TableStyleMedium2" defaultPivotStyle="PivotStyleLight16">
    <tableStyle name="Address Book" pivot="0" count="3" xr9:uid="{C0774C9B-9B09-4D18-8A17-431023DE7F6C}">
      <tableStyleElement type="wholeTable" dxfId="2175"/>
      <tableStyleElement type="headerRow" dxfId="2174"/>
      <tableStyleElement type="totalRow" dxfId="2173"/>
    </tableStyle>
  </tableStyles>
  <colors>
    <mruColors>
      <color rgb="FFFF99CC"/>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microsoft.com/office/2017/10/relationships/person" Target="persons/perso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4D7F-410F-BC82-0BF5987E3F39}"/>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13D8-4FBA-90A6-9552A41AE6AE}"/>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DD6C-479E-BE7E-A55B9B0C1173}"/>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55C1-4793-BA45-47C20B1AA2F1}"/>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4364-43B0-9A34-5D2554C1C755}"/>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EAA0-4F47-A957-3A26AB0752F0}"/>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BC5A-420E-826A-22E3CE2BD329}"/>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3E67-40C6-BAB7-0472A7F9AD1F}"/>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F1A1-42B7-819A-AF57BFB6C05E}"/>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98B7-462B-AAF0-C85EEFC2846C}"/>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1B07-4174-B5C7-DB026B550A9A}"/>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F380-45FE-8ED6-F65AE5782A92}"/>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n-US"/>
        </a:p>
      </c:txPr>
    </c:title>
    <c:autoTitleDeleted val="0"/>
    <c:plotArea>
      <c:layout/>
      <c:pieChart>
        <c:varyColors val="1"/>
        <c:ser>
          <c:idx val="0"/>
          <c:order val="0"/>
          <c:dLbls>
            <c:spPr>
              <a:pattFill prst="pct75">
                <a:fgClr>
                  <a:schemeClr val="dk1">
                    <a:lumMod val="75000"/>
                    <a:lumOff val="25000"/>
                  </a:schemeClr>
                </a:fgClr>
                <a:bgClr>
                  <a:schemeClr val="dk1">
                    <a:lumMod val="65000"/>
                    <a:lumOff val="35000"/>
                  </a:schemeClr>
                </a:bgClr>
              </a:pattFill>
              <a:ln>
                <a:noFill/>
              </a:ln>
              <a:effectLst>
                <a:outerShdw blurRad="50800" dist="38100" dir="2700000" algn="tl" rotWithShape="0">
                  <a:prstClr val="black">
                    <a:alpha val="40000"/>
                  </a:prstClr>
                </a:outerShdw>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ctr"/>
            <c:showLegendKey val="0"/>
            <c:showVal val="0"/>
            <c:showCatName val="0"/>
            <c:showSerName val="0"/>
            <c:showPercent val="1"/>
            <c:showBubbleSize val="0"/>
            <c:showLeaderLines val="1"/>
            <c:leaderLines>
              <c:spPr>
                <a:ln w="9525">
                  <a:solidFill>
                    <a:schemeClr val="dk1">
                      <a:lumMod val="50000"/>
                      <a:lumOff val="50000"/>
                    </a:schemeClr>
                  </a:solidFill>
                </a:ln>
                <a:effectLst/>
              </c:spPr>
            </c:leaderLines>
            <c:extLst>
              <c:ext xmlns:c15="http://schemas.microsoft.com/office/drawing/2012/chart" uri="{CE6537A1-D6FC-4f65-9D91-7224C49458BB}"/>
            </c:extLst>
          </c:dLbls>
          <c:cat>
            <c:multiLvlStrRef>
              <c:f>'Budget Example'!$K$6:$K$8</c:f>
            </c:multiLvlStrRef>
          </c:cat>
          <c:val>
            <c:numRef>
              <c:f>'Budget Example'!$L$6:$L$8</c:f>
            </c:numRef>
          </c:val>
          <c:extLst>
            <c:ext xmlns:c16="http://schemas.microsoft.com/office/drawing/2014/chart" uri="{C3380CC4-5D6E-409C-BE32-E72D297353CC}">
              <c16:uniqueId val="{00000000-A8DB-4633-8A40-BA662747D3D2}"/>
            </c:ext>
          </c:extLst>
        </c:ser>
        <c:dLbls>
          <c:dLblPos val="ctr"/>
          <c:showLegendKey val="0"/>
          <c:showVal val="0"/>
          <c:showCatName val="0"/>
          <c:showSerName val="0"/>
          <c:showPercent val="1"/>
          <c:showBubbleSize val="0"/>
          <c:showLeaderLines val="1"/>
        </c:dLbls>
        <c:firstSliceAng val="0"/>
      </c:pieChart>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1.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53">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dataLabel>
  <cs:dataLabelCallout>
    <cs:lnRef idx="0"/>
    <cs:fillRef idx="0"/>
    <cs:effectRef idx="0"/>
    <cs:fontRef idx="minor">
      <a:schemeClr val="lt1"/>
    </cs:fontRef>
    <cs:spPr>
      <a:pattFill prst="pct75">
        <a:fgClr>
          <a:schemeClr val="dk1">
            <a:lumMod val="75000"/>
            <a:lumOff val="25000"/>
          </a:schemeClr>
        </a:fgClr>
        <a:bgClr>
          <a:schemeClr val="dk1">
            <a:lumMod val="65000"/>
            <a:lumOff val="35000"/>
          </a:schemeClr>
        </a:bgClr>
      </a:pattFill>
      <a:effectLst>
        <a:outerShdw blurRad="50800" dist="38100" dir="2700000" algn="tl" rotWithShape="0">
          <a:prstClr val="black">
            <a:alpha val="40000"/>
          </a:prstClr>
        </a:outerShdw>
      </a:effectLst>
    </cs:spPr>
    <cs:defRPr sz="1000" b="1" i="0" u="none" strike="noStrike" kern="1200" baseline="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
  <cs:dataPoint3D>
    <cs:lnRef idx="0"/>
    <cs:fillRef idx="0">
      <cs:styleClr val="auto"/>
    </cs:fillRef>
    <cs:effectRef idx="0"/>
    <cs:fontRef idx="minor">
      <a:schemeClr val="dk1"/>
    </cs:fontRef>
    <cs:spPr>
      <a:solidFill>
        <a:schemeClr val="phClr"/>
      </a:solidFill>
      <a:effectLst>
        <a:outerShdw blurRad="254000" sx="102000" sy="102000" algn="ctr" rotWithShape="0">
          <a:prstClr val="black">
            <a:alpha val="20000"/>
          </a:prstClr>
        </a:outerShdw>
      </a:effectLst>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chart" Target="../charts/chart3.xml"/></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7.xml.rels><?xml version="1.0" encoding="UTF-8" standalone="yes"?>
<Relationships xmlns="http://schemas.openxmlformats.org/package/2006/relationships"><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24.xml.rels><?xml version="1.0" encoding="UTF-8" standalone="yes"?>
<Relationships xmlns="http://schemas.openxmlformats.org/package/2006/relationships"><Relationship Id="rId1" Type="http://schemas.openxmlformats.org/officeDocument/2006/relationships/image" Target="../media/image3.png"/></Relationships>
</file>

<file path=xl/drawings/_rels/drawing25.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6.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9</xdr:row>
      <xdr:rowOff>17841</xdr:rowOff>
    </xdr:from>
    <xdr:to>
      <xdr:col>7</xdr:col>
      <xdr:colOff>121226</xdr:colOff>
      <xdr:row>17</xdr:row>
      <xdr:rowOff>864959</xdr:rowOff>
    </xdr:to>
    <xdr:pic>
      <xdr:nvPicPr>
        <xdr:cNvPr id="3" name="Picture 2">
          <a:extLst>
            <a:ext uri="{FF2B5EF4-FFF2-40B4-BE49-F238E27FC236}">
              <a16:creationId xmlns:a16="http://schemas.microsoft.com/office/drawing/2014/main" id="{4C934728-1539-A614-D13C-B9545BFBD56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33375" y="1799016"/>
          <a:ext cx="4378901" cy="5647718"/>
        </a:xfrm>
        <a:prstGeom prst="rect">
          <a:avLst/>
        </a:prstGeom>
      </xdr:spPr>
    </xdr:pic>
    <xdr:clientData/>
  </xdr:twoCellAnchor>
  <xdr:twoCellAnchor editAs="oneCell">
    <xdr:from>
      <xdr:col>10</xdr:col>
      <xdr:colOff>450590</xdr:colOff>
      <xdr:row>9</xdr:row>
      <xdr:rowOff>256025</xdr:rowOff>
    </xdr:from>
    <xdr:to>
      <xdr:col>20</xdr:col>
      <xdr:colOff>452057</xdr:colOff>
      <xdr:row>17</xdr:row>
      <xdr:rowOff>849119</xdr:rowOff>
    </xdr:to>
    <xdr:pic>
      <xdr:nvPicPr>
        <xdr:cNvPr id="2" name="Picture 1" descr="Financial Literacy: The Guide to Managing Your Money">
          <a:extLst>
            <a:ext uri="{FF2B5EF4-FFF2-40B4-BE49-F238E27FC236}">
              <a16:creationId xmlns:a16="http://schemas.microsoft.com/office/drawing/2014/main" id="{7B68DADF-74C7-72C3-5786-C6B015BB897C}"/>
            </a:ext>
            <a:ext uri="{147F2762-F138-4A5C-976F-8EAC2B608ADB}">
              <a16:predDERef xmlns:a16="http://schemas.microsoft.com/office/drawing/2014/main" pred="{4C934728-1539-A614-D13C-B9545BFBD56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375515" y="2037200"/>
          <a:ext cx="6811842" cy="53936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3" name="Chart 2">
          <a:extLst>
            <a:ext uri="{FF2B5EF4-FFF2-40B4-BE49-F238E27FC236}">
              <a16:creationId xmlns:a16="http://schemas.microsoft.com/office/drawing/2014/main" id="{E8BA96D8-870B-71A0-FB18-DAA6BA63950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CB6CED76-F68E-43D9-A9A0-2291995D8B13}"/>
            </a:ext>
          </a:extLst>
        </xdr:cNvPr>
        <xdr:cNvPicPr>
          <a:picLocks noChangeAspect="1"/>
        </xdr:cNvPicPr>
      </xdr:nvPicPr>
      <xdr:blipFill>
        <a:blip xmlns:r="http://schemas.openxmlformats.org/officeDocument/2006/relationships" r:embed="rId1"/>
        <a:stretch>
          <a:fillRect/>
        </a:stretch>
      </xdr:blipFill>
      <xdr:spPr>
        <a:xfrm>
          <a:off x="7048501" y="1093240"/>
          <a:ext cx="5971081" cy="377420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76D103D2-305E-45C2-945C-DC51489BBFA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6D3BBD5A-787F-419A-A759-3B41447E95F6}"/>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16C1025C-E8F6-438D-B349-3951084D50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C56FC7F6-CC52-4483-89F5-671C4AFA46E8}"/>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BEB5BB87-9918-41C2-80F4-A5B8AD7D771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4AF19080-2F7D-4C9C-AB13-C951F729ED4D}"/>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2E6E72AB-CFAC-433B-87E1-49E7023FFB4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D5A1B067-ED91-4D2A-AD2B-B099155F4FB6}"/>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BCCEE8C1-12E6-4575-8ACF-775A332706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016DE0C2-48E7-4568-B6EA-8320451C83E1}"/>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FE39AAE1-656F-4A6B-A101-450A86086D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51F99215-A0BE-4455-98B1-417E055EF1F0}"/>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C7742D54-7550-4F74-9F7C-C93A3A57E6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633E1B8C-0175-493C-B0CA-FD86E2751179}"/>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D77C2051-A210-4FB7-B956-C4B65E92BC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945E81EC-D19D-474A-BF09-9A17169339B7}"/>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05025145-7C49-4A10-B99A-966BAA17EC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A3450A27-F476-4EEE-81E6-5218A63404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71256474-F0CD-4A26-B90A-500E05D0415C}"/>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58C6E7D0-48D6-431F-8649-FB69E8CD5E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80DF9999-056A-4B51-A546-184D2F56B54A}"/>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4</xdr:col>
      <xdr:colOff>770164</xdr:colOff>
      <xdr:row>12</xdr:row>
      <xdr:rowOff>32656</xdr:rowOff>
    </xdr:from>
    <xdr:to>
      <xdr:col>11</xdr:col>
      <xdr:colOff>650422</xdr:colOff>
      <xdr:row>26</xdr:row>
      <xdr:rowOff>185056</xdr:rowOff>
    </xdr:to>
    <xdr:graphicFrame macro="">
      <xdr:nvGraphicFramePr>
        <xdr:cNvPr id="2" name="Chart 1">
          <a:extLst>
            <a:ext uri="{FF2B5EF4-FFF2-40B4-BE49-F238E27FC236}">
              <a16:creationId xmlns:a16="http://schemas.microsoft.com/office/drawing/2014/main" id="{35A5DCE4-F92A-4C0D-A3C2-DE9BF8945E4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editAs="oneCell">
    <xdr:from>
      <xdr:col>6</xdr:col>
      <xdr:colOff>310244</xdr:colOff>
      <xdr:row>7</xdr:row>
      <xdr:rowOff>129854</xdr:rowOff>
    </xdr:from>
    <xdr:to>
      <xdr:col>14</xdr:col>
      <xdr:colOff>372799</xdr:colOff>
      <xdr:row>27</xdr:row>
      <xdr:rowOff>94064</xdr:rowOff>
    </xdr:to>
    <xdr:pic>
      <xdr:nvPicPr>
        <xdr:cNvPr id="2" name="Picture 1">
          <a:extLst>
            <a:ext uri="{FF2B5EF4-FFF2-40B4-BE49-F238E27FC236}">
              <a16:creationId xmlns:a16="http://schemas.microsoft.com/office/drawing/2014/main" id="{A83DB796-AD13-4EBC-B313-D0F52420D2D2}"/>
            </a:ext>
          </a:extLst>
        </xdr:cNvPr>
        <xdr:cNvPicPr>
          <a:picLocks noChangeAspect="1"/>
        </xdr:cNvPicPr>
      </xdr:nvPicPr>
      <xdr:blipFill>
        <a:blip xmlns:r="http://schemas.openxmlformats.org/officeDocument/2006/relationships" r:embed="rId1"/>
        <a:stretch>
          <a:fillRect/>
        </a:stretch>
      </xdr:blipFill>
      <xdr:spPr>
        <a:xfrm>
          <a:off x="8088087" y="1539554"/>
          <a:ext cx="5973498" cy="377421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4B908829-7183-49C5-9EAD-97BB33339902}" name="Table13" displayName="Table13" ref="I9:J19" totalsRowShown="0" headerRowDxfId="2172">
  <autoFilter ref="I9:J19" xr:uid="{4B908829-7183-49C5-9EAD-97BB33339902}"/>
  <tableColumns count="2">
    <tableColumn id="1" xr3:uid="{04B50BA1-B350-4F1B-BAFD-0560DF7CAC99}" name="Term:" dataDxfId="2171"/>
    <tableColumn id="2" xr3:uid="{C5885A4F-86BC-49C6-A9CC-4C365C119A5C}" name="Defenition" dataDxfId="217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C273E32-6E66-412D-9274-02C7232B97EF}" name="Housing" displayName="Housing" ref="A38:D49" totalsRowCount="1" headerRowDxfId="2169" dataDxfId="2167" totalsRowDxfId="2165" headerRowBorderDxfId="2168" tableBorderDxfId="2166" totalsRowBorderDxfId="2164">
  <autoFilter ref="A38:D48" xr:uid="{EC273E32-6E66-412D-9274-02C7232B97EF}"/>
  <tableColumns count="4">
    <tableColumn id="1" xr3:uid="{6C8FE474-0BED-4DED-A1F3-B26B3EDBAC88}" name="Category" totalsRowLabel="Subtotal" dataDxfId="2163" totalsRowDxfId="2162"/>
    <tableColumn id="2" xr3:uid="{C4BBAEE2-DCCA-4413-885D-E9CB7BC2D936}" name="Projected_x000a_cost" totalsRowFunction="custom" dataDxfId="2161" totalsRowDxfId="2160">
      <totalsRowFormula>SUM(Housing[Projected
cost])</totalsRowFormula>
    </tableColumn>
    <tableColumn id="3" xr3:uid="{0A9AF159-005D-4262-8615-19A539F8E56F}" name="Actual _x000a_cost" totalsRowFunction="custom" dataDxfId="2159" totalsRowDxfId="2158">
      <totalsRowFormula>SUM(Housing[Actual 
cost])</totalsRowFormula>
    </tableColumn>
    <tableColumn id="4" xr3:uid="{08008FB2-08B6-485D-A414-2F41729DCF71}" name="Difference" totalsRowFunction="sum" dataDxfId="2157" totalsRowDxfId="2156"/>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BCD7A91-8B8E-4420-BB8E-404C23881506}" name="Entertainment" displayName="Entertainment" ref="F38:I48" totalsRowCount="1" headerRowDxfId="2155" dataDxfId="2153" totalsRowDxfId="2151" headerRowBorderDxfId="2154" tableBorderDxfId="2152" totalsRowBorderDxfId="2150" headerRowCellStyle="Normal">
  <autoFilter ref="F38:I47" xr:uid="{ABCD7A91-8B8E-4420-BB8E-404C23881506}"/>
  <tableColumns count="4">
    <tableColumn id="1" xr3:uid="{318E373E-6256-4706-8276-3ACDB1177290}" name="Category" totalsRowLabel="Subtotal" dataDxfId="2149" totalsRowDxfId="2148"/>
    <tableColumn id="2" xr3:uid="{6CC04687-4ADB-4550-BD09-D53571FD99F6}" name="Projected _x000a_cost" totalsRowFunction="custom" dataDxfId="2147" totalsRowDxfId="2146">
      <totalsRowFormula>SUM(Entertainment[Projected 
cost])</totalsRowFormula>
    </tableColumn>
    <tableColumn id="3" xr3:uid="{C1BC0E22-E427-4E6F-8B4C-AD1821BC96AF}" name="Actual _x000a_cost" totalsRowFunction="custom" dataDxfId="2145" totalsRowDxfId="2144">
      <totalsRowFormula>SUM(Entertainment[Actual 
cost])</totalsRowFormula>
    </tableColumn>
    <tableColumn id="4" xr3:uid="{B375BD6F-68F4-4B4A-8D47-8FAC22071A3D}" name="Difference" totalsRowFunction="sum" dataDxfId="2143" totalsRowDxfId="2142">
      <calculatedColumnFormula>Entertainment[[#This Row],[Projected 
cost]]-Entertainment[[#This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6FC0980-1C10-4EC9-897C-D19A1567FFB4}" name="Loans" displayName="Loans" ref="F52:I59" totalsRowCount="1" headerRowDxfId="2141" dataDxfId="2139" totalsRowDxfId="2137" headerRowBorderDxfId="2140" tableBorderDxfId="2138" totalsRowBorderDxfId="2136">
  <autoFilter ref="F52:I58" xr:uid="{46FC0980-1C10-4EC9-897C-D19A1567FFB4}"/>
  <tableColumns count="4">
    <tableColumn id="1" xr3:uid="{4BB32FAE-589B-4010-8BC7-4075B754EF3E}" name="Category" totalsRowLabel="Subtotal" dataDxfId="2135" totalsRowDxfId="2134"/>
    <tableColumn id="2" xr3:uid="{9F86606C-587A-4F5F-BD84-8AAFD0E9A50C}" name="Projected _x000a_cost" totalsRowFunction="custom" dataDxfId="2133" totalsRowDxfId="2132">
      <totalsRowFormula>SUM(Loans[Projected 
cost])</totalsRowFormula>
    </tableColumn>
    <tableColumn id="3" xr3:uid="{4C71BFFA-ABFA-4D04-B5A6-1E2878620F76}" name="Actual _x000a_cost" totalsRowFunction="custom" dataDxfId="2131" totalsRowDxfId="2130">
      <totalsRowFormula>SUM(Loans[Actual 
cost])</totalsRowFormula>
    </tableColumn>
    <tableColumn id="4" xr3:uid="{5A9DE546-B58F-4CA0-A40B-351C667CE14B}" name="Difference" totalsRowFunction="sum" dataDxfId="2129" totalsRowDxfId="2128">
      <calculatedColumnFormula>Loans[[#This Row],[Projected 
cost]]-Loans[[#This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791348C-6B86-4DC3-9AC7-E3294CB9F519}" name="Transportation" displayName="Transportation" ref="A52:D60" totalsRowCount="1" headerRowDxfId="2127" dataDxfId="2125" totalsRowDxfId="2123" headerRowBorderDxfId="2126" tableBorderDxfId="2124" totalsRowBorderDxfId="2122">
  <autoFilter ref="A52:D59" xr:uid="{3791348C-6B86-4DC3-9AC7-E3294CB9F519}"/>
  <tableColumns count="4">
    <tableColumn id="1" xr3:uid="{E23A5116-8D4B-4576-B934-3E9D4208616F}" name="Category" totalsRowLabel="Subtotal" dataDxfId="2121" totalsRowDxfId="2120"/>
    <tableColumn id="2" xr3:uid="{FB69E1D4-1289-4D3C-B1F0-4E880A223BC8}" name="Projected _x000a_cost" totalsRowFunction="custom" dataDxfId="2119" totalsRowDxfId="2118">
      <totalsRowFormula>SUM(Transportation[Projected 
cost])</totalsRowFormula>
    </tableColumn>
    <tableColumn id="3" xr3:uid="{1901A8E8-5273-4FCF-8BB3-5994F7954A38}" name="Actual _x000a_cost" totalsRowFunction="custom" dataDxfId="2117" totalsRowDxfId="2116">
      <totalsRowFormula>SUM(Transportation[Actual 
cost])</totalsRowFormula>
    </tableColumn>
    <tableColumn id="4" xr3:uid="{826DF631-8E0F-40B9-8B97-8947EDD68AC6}" name="Difference" totalsRowFunction="sum" dataDxfId="2115" totalsRowDxfId="2114">
      <calculatedColumnFormula>Transportation[[#This Row],[Projected 
cost]]-Transportation[[#This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97815EBA-35E4-46C9-99FC-9A9B6F57B9D9}" name="Insurance" displayName="Insurance" ref="A63:D68" totalsRowCount="1" headerRowDxfId="2113" dataDxfId="2111" totalsRowDxfId="2109" headerRowBorderDxfId="2112" tableBorderDxfId="2110" totalsRowBorderDxfId="2108">
  <autoFilter ref="A63:D67" xr:uid="{97815EBA-35E4-46C9-99FC-9A9B6F57B9D9}"/>
  <tableColumns count="4">
    <tableColumn id="1" xr3:uid="{3F578B4E-9336-4A90-95EF-22D4CEA23236}" name="Category" totalsRowLabel="Subtotal" dataDxfId="2107" totalsRowDxfId="2106"/>
    <tableColumn id="2" xr3:uid="{E2BF9042-8270-48C4-8A86-21188066149D}" name="Projected_x000a_cost" totalsRowLabel="$0.00" dataDxfId="2105" totalsRowDxfId="2104"/>
    <tableColumn id="3" xr3:uid="{AD03A7AE-A5B6-4DC8-9B8C-C941ED8AAB80}" name="Actual _x000a_cost" totalsRowFunction="custom" dataDxfId="2103" totalsRowDxfId="2102">
      <totalsRowFormula>SUM(Insurance[Actual 
cost])</totalsRowFormula>
    </tableColumn>
    <tableColumn id="4" xr3:uid="{0886D1FD-0B0E-4B95-950C-73CF510637E4}" name="Difference" totalsRowFunction="sum" dataDxfId="2101" totalsRowDxfId="2100">
      <calculatedColumnFormula>Insurance[[#This Row],[Projected
cost]]-Insurance[[#This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41433824-9014-42A3-A455-96583DB291E2}" name="Taxes" displayName="Taxes" ref="F63:I68" totalsRowCount="1" headerRowDxfId="2099" dataDxfId="2097" totalsRowDxfId="2095" headerRowBorderDxfId="2098" tableBorderDxfId="2096" totalsRowBorderDxfId="2094">
  <autoFilter ref="F63:I67" xr:uid="{41433824-9014-42A3-A455-96583DB291E2}"/>
  <tableColumns count="4">
    <tableColumn id="1" xr3:uid="{29954024-436E-45C3-9AF4-B1F4A3AF52DF}" name="Category" totalsRowLabel="Subtotal" dataDxfId="2093" totalsRowDxfId="2092"/>
    <tableColumn id="2" xr3:uid="{9D9F5692-C13D-4FF6-ACDE-5E6990A9AE5A}" name="Projected _x000a_cost" totalsRowFunction="custom" dataDxfId="2091" totalsRowDxfId="2090">
      <totalsRowFormula>SUM(Taxes[Projected 
cost])</totalsRowFormula>
    </tableColumn>
    <tableColumn id="3" xr3:uid="{ADAA206E-8366-43CB-A819-74F3893C7E54}" name="Actual _x000a_cost" totalsRowFunction="custom" dataDxfId="2089" totalsRowDxfId="2088">
      <totalsRowFormula>SUM(Taxes[Actual 
cost])</totalsRowFormula>
    </tableColumn>
    <tableColumn id="4" xr3:uid="{916C4FD4-B696-428D-9615-519F64FD1456}" name="Difference" totalsRowFunction="sum" dataDxfId="2087" totalsRowDxfId="2086">
      <calculatedColumnFormula>Taxes[[#This Row],[Projected 
cost]]-Taxes[[#This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1977D02-FD4F-4559-BAF7-ADB98963CB0F}" name="Savings" displayName="Savings" ref="F71:I75" totalsRowCount="1" headerRowDxfId="2085" dataDxfId="2083" totalsRowDxfId="2082" headerRowBorderDxfId="2084" totalsRowBorderDxfId="2081">
  <autoFilter ref="F71:I74" xr:uid="{E1977D02-FD4F-4559-BAF7-ADB98963CB0F}"/>
  <tableColumns count="4">
    <tableColumn id="1" xr3:uid="{532FDF9F-6298-498C-A3E3-B961C227462D}" name="Category" totalsRowLabel="Subtotal" dataDxfId="2080" totalsRowDxfId="2079"/>
    <tableColumn id="2" xr3:uid="{190D2A65-34CF-43C4-970A-7D9770FBC014}" name="Projected _x000a_cost" totalsRowFunction="custom" dataDxfId="2078" totalsRowDxfId="2077">
      <totalsRowFormula>SUM(Savings[Projected 
cost])</totalsRowFormula>
    </tableColumn>
    <tableColumn id="3" xr3:uid="{FE6A5306-7819-4032-81C0-E6603D5287F5}" name="Actual _x000a_cost" totalsRowFunction="custom" dataDxfId="2076" totalsRowDxfId="2075">
      <totalsRowFormula>SUM(Savings[Actual 
cost])</totalsRowFormula>
    </tableColumn>
    <tableColumn id="4" xr3:uid="{9BBE0B91-184A-4A6B-8404-7131DB995872}" name="Difference" totalsRowFunction="sum" dataDxfId="2074" totalsRowDxfId="2073">
      <calculatedColumnFormula>Savings[[#This Row],[Projected 
cost]]-Savings[[#This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752B363C-2D82-4416-B41B-450F9541E34C}" name="Food" displayName="Food" ref="A71:D75" totalsRowCount="1" headerRowDxfId="2072" dataDxfId="2070" totalsRowDxfId="2068" headerRowBorderDxfId="2071" tableBorderDxfId="2069" totalsRowBorderDxfId="2067">
  <autoFilter ref="A71:D74" xr:uid="{752B363C-2D82-4416-B41B-450F9541E34C}"/>
  <tableColumns count="4">
    <tableColumn id="1" xr3:uid="{ED6130CF-8EE7-438E-A8FA-6EA3C5E5CDFA}" name="Category" totalsRowLabel="Subtotal" dataDxfId="2066" totalsRowDxfId="2065"/>
    <tableColumn id="2" xr3:uid="{6DF8652D-3B39-4582-B5A2-85DDF5A8E9A7}" name="Projected _x000a_cost" totalsRowFunction="custom" dataDxfId="2064" totalsRowDxfId="2063">
      <totalsRowFormula>SUM(Food[Projected 
cost])</totalsRowFormula>
    </tableColumn>
    <tableColumn id="3" xr3:uid="{306AACC7-69C6-448C-B64D-AA076A34256E}" name="Actual _x000a_cost" totalsRowFunction="custom" dataDxfId="2062" totalsRowDxfId="2061">
      <totalsRowFormula>SUM(Food[Actual 
cost])</totalsRowFormula>
    </tableColumn>
    <tableColumn id="4" xr3:uid="{B8CEE772-B646-494F-9C2D-F7279B220662}" name="Difference" totalsRowFunction="sum" dataDxfId="2060" totalsRowDxfId="2059">
      <calculatedColumnFormula>Food[[#This Row],[Projected 
cost]]-Food[[#This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14E81561-7182-48EB-877C-1D3C0D007945}" name="Gifts" displayName="Gifts" ref="F78:I82" totalsRowCount="1" headerRowDxfId="2058" dataDxfId="2056" totalsRowDxfId="2055" headerRowBorderDxfId="2057" totalsRowBorderDxfId="2054">
  <autoFilter ref="F78:I81" xr:uid="{14E81561-7182-48EB-877C-1D3C0D007945}"/>
  <tableColumns count="4">
    <tableColumn id="1" xr3:uid="{80A4A43A-0E80-49EC-8A0F-AD0F8830EACA}" name="Category" totalsRowLabel="Subtotal" dataDxfId="2053" totalsRowDxfId="2052"/>
    <tableColumn id="2" xr3:uid="{1E2B8B2C-AF74-4418-95C1-20F9FA5B5CFB}" name="Projected _x000a_cost" totalsRowFunction="custom" dataDxfId="2051" totalsRowDxfId="2050">
      <totalsRowFormula>SUM(Gifts[Projected 
cost])</totalsRowFormula>
    </tableColumn>
    <tableColumn id="3" xr3:uid="{67B63C35-B3C0-47C7-AA9D-BF111E06F1BE}" name="Actual _x000a_cost" totalsRowFunction="custom" dataDxfId="2049" totalsRowDxfId="2048">
      <totalsRowFormula>SUM(Gifts[Actual 
cost])</totalsRowFormula>
    </tableColumn>
    <tableColumn id="4" xr3:uid="{97485398-30A7-471F-B3BF-875BE834E1BA}" name="Difference" totalsRowFunction="sum" dataDxfId="2047" totalsRowDxfId="2046">
      <calculatedColumnFormula>Gifts[[#This Row],[Projected 
cost]]-Gifts[[#This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BB8FB9C3-90C8-4A9B-94EA-89218C8670C2}" name="Pets" displayName="Pets" ref="A78:D84" totalsRowCount="1" headerRowDxfId="2045" dataDxfId="2043" totalsRowDxfId="2042" headerRowBorderDxfId="2044" totalsRowBorderDxfId="2041">
  <autoFilter ref="A78:D83" xr:uid="{BB8FB9C3-90C8-4A9B-94EA-89218C8670C2}"/>
  <tableColumns count="4">
    <tableColumn id="1" xr3:uid="{3EEACADF-2FF0-4A80-AD78-6F195D7D8246}" name="Category" totalsRowLabel="Subtotal" dataDxfId="2040" totalsRowDxfId="2039"/>
    <tableColumn id="2" xr3:uid="{25FB62C5-E6EB-4AED-8980-AAE9ED3D19B6}" name="Projected _x000a_cost" totalsRowFunction="custom" dataDxfId="2038" totalsRowDxfId="2037">
      <totalsRowFormula>SUM(Pets[Projected 
cost])</totalsRowFormula>
    </tableColumn>
    <tableColumn id="3" xr3:uid="{2D8BA3E3-DBF4-477D-8BE5-4801E46F3119}" name="Actual _x000a_cost" totalsRowFunction="custom" dataDxfId="2036" totalsRowDxfId="2035">
      <totalsRowFormula>SUM(Pets[Actual 
cost])</totalsRowFormula>
    </tableColumn>
    <tableColumn id="4" xr3:uid="{6948CE72-FAA1-4042-9143-F65D0DF27974}" name="Difference" totalsRowFunction="sum" dataDxfId="2034" totalsRowDxfId="2033">
      <calculatedColumnFormula>Pets[[#This Row],[Projected 
cost]]-Pets[[#This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2CBFA43E-52CB-48F8-AA14-1E41A126831F}" name="PersonalCare" displayName="PersonalCare" ref="A87:D95" totalsRowCount="1" headerRowDxfId="2032" dataDxfId="2030" totalsRowDxfId="2029" headerRowBorderDxfId="2031" totalsRowBorderDxfId="2028">
  <autoFilter ref="A87:D94" xr:uid="{2CBFA43E-52CB-48F8-AA14-1E41A126831F}"/>
  <tableColumns count="4">
    <tableColumn id="1" xr3:uid="{D74D32E6-BCCE-42DD-8ED7-3D6E0ADC7F2B}" name="Category" totalsRowLabel="Subtotal" dataDxfId="2027" totalsRowDxfId="2026"/>
    <tableColumn id="2" xr3:uid="{64E2541F-ADDF-4F2B-AFB0-B7FC57090168}" name="Projected _x000a_cost" totalsRowFunction="custom" dataDxfId="2025" totalsRowDxfId="2024">
      <totalsRowFormula>SUM(PersonalCare[Projected 
cost])</totalsRowFormula>
    </tableColumn>
    <tableColumn id="3" xr3:uid="{46414692-17C4-4BB3-A869-F086D04D26A7}" name="Actual _x000a_cost" totalsRowFunction="custom" dataDxfId="2023" totalsRowDxfId="2022">
      <totalsRowFormula>SUM(PersonalCare[Actual 
cost])</totalsRowFormula>
    </tableColumn>
    <tableColumn id="4" xr3:uid="{B73E3E91-0E6C-42BD-AF64-E39E94CBCBD9}" name="Difference" totalsRowFunction="sum" dataDxfId="2021" totalsRowDxfId="2020">
      <calculatedColumnFormula>PersonalCare[[#This Row],[Projected 
cost]]-PersonalCare[[#This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CE9CF11C-4460-46D8-B94F-D7DB1A431F85}" name="Legal" displayName="Legal" ref="F87:I92" totalsRowCount="1" headerRowDxfId="2019" dataDxfId="2017" totalsRowDxfId="2016" headerRowBorderDxfId="2018" totalsRowBorderDxfId="2015">
  <autoFilter ref="F87:I91" xr:uid="{CE9CF11C-4460-46D8-B94F-D7DB1A431F85}"/>
  <tableColumns count="4">
    <tableColumn id="1" xr3:uid="{09EB552C-157A-4428-95D3-F87ECBFD8B91}" name="Category" totalsRowLabel="Subtotal" dataDxfId="2014" totalsRowDxfId="2013"/>
    <tableColumn id="2" xr3:uid="{4E64DA0F-E645-4F11-A295-39B412C9C790}" name="Projected _x000a_cost" totalsRowFunction="custom" dataDxfId="2012" totalsRowDxfId="2011">
      <totalsRowFormula>SUM(Legal[Projected 
cost])</totalsRowFormula>
    </tableColumn>
    <tableColumn id="3" xr3:uid="{026B4424-E139-4C48-94DF-CDB12EC9DE5D}" name="Actual _x000a_cost" totalsRowFunction="custom" dataDxfId="2010" totalsRowDxfId="2009">
      <totalsRowFormula>SUM(Legal[Actual 
cost])</totalsRowFormula>
    </tableColumn>
    <tableColumn id="4" xr3:uid="{73CFFE9E-C49E-4AEB-88C1-E9C77F21A868}" name="Difference" totalsRowFunction="sum" dataDxfId="2008" totalsRowDxfId="2007">
      <calculatedColumnFormula>Legal[[#This Row],[Projected 
cost]]-Legal[[#This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6" xr:uid="{84D7483B-0AA3-443D-B077-CB614166CB8E}" name="Table176" displayName="Table176" ref="J52:J63" totalsRowShown="0" headerRowDxfId="2006" dataDxfId="2005">
  <autoFilter ref="J52:J63" xr:uid="{84D7483B-0AA3-443D-B077-CB614166CB8E}"/>
  <tableColumns count="1">
    <tableColumn id="1" xr3:uid="{93E576E8-7D50-40D0-8E14-53403994ED31}" name="Total Amount Owed" dataDxfId="2004"/>
  </tableColumns>
  <tableStyleInfo name="Address Book"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EF7EA580-28B3-45C1-B3FF-3AD28E375EA9}" name="Table1516116" displayName="Table1516116" ref="C3:E40" totalsRowShown="0" headerRowCellStyle="Currency" dataCellStyle="Currency">
  <autoFilter ref="C3:E40" xr:uid="{A2C35252-D38E-4A14-BF19-C14532D2BA19}"/>
  <tableColumns count="3">
    <tableColumn id="1" xr3:uid="{57B81156-ED47-4083-8521-9F10AEDE9DCE}" name="Credit Card Balances " dataCellStyle="Currency">
      <calculatedColumnFormula>#REF!</calculatedColumnFormula>
    </tableColumn>
    <tableColumn id="2" xr3:uid="{89642927-AE97-472C-948D-CDFC3BC7FC83}" name="Budgeted Amount" dataCellStyle="Currency"/>
    <tableColumn id="3" xr3:uid="{59873054-D624-4BA5-877B-4383696A9B69}" name="Interest" dataDxfId="2003" dataCellStyle="Percent"/>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7412A9D1-246C-4436-BE22-816E13784FA3}" name="Table17218" displayName="Table17218" ref="B3:B40" totalsRowShown="0" headerRowCellStyle="Currency" dataCellStyle="Currency">
  <autoFilter ref="B3:B40" xr:uid="{84E0FCCA-604E-4CFC-A3ED-829019A207A1}"/>
  <tableColumns count="1">
    <tableColumn id="1" xr3:uid="{6324A2CB-828F-4E30-BCFE-99F71071B74E}" name="Credit Card " dataCellStyle="Currency"/>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3" xr:uid="{22F8BEB6-9F00-4EC8-9EC9-8638209FE1D0}" name="Table175200202174" displayName="Table175200202174" ref="B44:G65" totalsRowShown="0">
  <autoFilter ref="B44:G65" xr:uid="{22F8BEB6-9F00-4EC8-9EC9-8638209FE1D0}"/>
  <tableColumns count="6">
    <tableColumn id="1" xr3:uid="{CB55B282-CC23-434E-9F3E-D446DEBC1970}" name="Lender"/>
    <tableColumn id="6" xr3:uid="{3FE5E9E0-DDDC-4550-9D60-3649309CEFB2}" name="Loan Type"/>
    <tableColumn id="5" xr3:uid="{AB2D05CB-98B5-4769-8D34-6E3ED0F2B0E0}" name="Loan Amount" dataCellStyle="Currency"/>
    <tableColumn id="2" xr3:uid="{BF8BE8D5-9A7B-4AEF-8147-DE705C904945}" name="Interest"/>
    <tableColumn id="3" xr3:uid="{BB0A9D0F-55BD-4732-96E0-FA3D5CFD1A54}" name="Budgeted Amount" dataCellStyle="Currency"/>
    <tableColumn id="4" xr3:uid="{F2C15189-D534-42E0-BEC4-9C4EB6A59700}" name="Link "/>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7" xr:uid="{521A51DA-26B2-4803-931E-53A3500E395A}" name="Table177" displayName="Table177" ref="F3:F41" totalsRowShown="0">
  <autoFilter ref="F3:F41" xr:uid="{521A51DA-26B2-4803-931E-53A3500E395A}"/>
  <tableColumns count="1">
    <tableColumn id="1" xr3:uid="{C7300036-A15C-48CA-9690-7D51179F44F1}" name="Links"/>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8" xr:uid="{5DCD9660-350A-49FD-8EAD-70EA23B9723C}" name="Housing179" displayName="Housing179" ref="A38:D49" totalsRowCount="1" headerRowDxfId="2002" dataDxfId="2000" totalsRowDxfId="1998" headerRowBorderDxfId="2001" tableBorderDxfId="1999" totalsRowBorderDxfId="1997">
  <autoFilter ref="A38:D48" xr:uid="{EC273E32-6E66-412D-9274-02C7232B97EF}"/>
  <tableColumns count="4">
    <tableColumn id="1" xr3:uid="{3504E41E-4FF6-4E45-95E2-20DD9C96A6EC}" name="Category" totalsRowLabel="Subtotal" dataDxfId="1996" totalsRowDxfId="1995"/>
    <tableColumn id="2" xr3:uid="{4548CE53-583A-4DA5-9C9F-5FC68181E856}" name="Projected_x000a_cost" totalsRowFunction="custom" dataDxfId="1994" totalsRowDxfId="1993">
      <totalsRowFormula>SUM(Housing179[Projected
cost])</totalsRowFormula>
    </tableColumn>
    <tableColumn id="3" xr3:uid="{D93AB2D6-EFD7-4342-BAD8-470B0ED2F6AD}" name="Actual _x000a_cost" totalsRowFunction="custom" dataDxfId="1992" totalsRowDxfId="1991">
      <totalsRowFormula>SUM(Housing179[Actual 
cost])</totalsRowFormula>
    </tableColumn>
    <tableColumn id="4" xr3:uid="{BCB257DA-FAC0-4E4D-9EB5-5D3588E9F420}" name="Difference" totalsRowFunction="sum" dataDxfId="1990" totalsRowDxfId="1989"/>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9" xr:uid="{5A60DDCD-448C-4A08-B2D5-9BDF5169AC2C}" name="Entertainment180" displayName="Entertainment180" ref="F38:I48" totalsRowCount="1" headerRowDxfId="1988" dataDxfId="1986" totalsRowDxfId="1984" headerRowBorderDxfId="1987" tableBorderDxfId="1985" totalsRowBorderDxfId="1983" headerRowCellStyle="Normal">
  <autoFilter ref="F38:I47" xr:uid="{ABCD7A91-8B8E-4420-BB8E-404C23881506}"/>
  <tableColumns count="4">
    <tableColumn id="1" xr3:uid="{1F318DB1-2C33-4136-9029-36DDA98018F5}" name="Category" totalsRowLabel="Subtotal" dataDxfId="1982" totalsRowDxfId="1981"/>
    <tableColumn id="2" xr3:uid="{CFA3FEFC-E8DA-4C22-8912-B68480001550}" name="Projected _x000a_cost" totalsRowFunction="custom" dataDxfId="1980" totalsRowDxfId="1979">
      <totalsRowFormula>SUM(Entertainment180[Projected 
cost])</totalsRowFormula>
    </tableColumn>
    <tableColumn id="3" xr3:uid="{4600A407-0FD4-495C-8435-E9AE2D6FE67D}" name="Actual _x000a_cost" totalsRowFunction="custom" dataDxfId="1978" totalsRowDxfId="1977">
      <totalsRowFormula>SUM(Entertainment180[Actual 
cost])</totalsRowFormula>
    </tableColumn>
    <tableColumn id="4" xr3:uid="{69B6FBA6-614F-4D2B-9FE1-898D65316F85}" name="Difference" totalsRowFunction="sum" dataDxfId="1976" totalsRowDxfId="1975">
      <calculatedColumnFormula>Entertainment180[[#This Row],[Projected 
cost]]-Entertainment180[[#This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1" xr:uid="{3B4DE317-A450-4889-9429-00C21A7C8DBC}" name="Loans182" displayName="Loans182" ref="F52:I59" totalsRowCount="1" headerRowDxfId="1974" dataDxfId="1972" totalsRowDxfId="1970" headerRowBorderDxfId="1973" tableBorderDxfId="1971" totalsRowBorderDxfId="1969">
  <autoFilter ref="F52:I58" xr:uid="{46FC0980-1C10-4EC9-897C-D19A1567FFB4}"/>
  <tableColumns count="4">
    <tableColumn id="1" xr3:uid="{2FED5883-3FF8-4D72-A47D-0503E4E436E9}" name="Category" totalsRowLabel="Subtotal" dataDxfId="1968" totalsRowDxfId="1967"/>
    <tableColumn id="2" xr3:uid="{5F36584A-BB2C-4E5B-97FB-87369E2F9293}" name="Projected _x000a_cost" totalsRowFunction="custom" dataDxfId="1966" totalsRowDxfId="1965">
      <totalsRowFormula>SUM(Loans182[Projected 
cost])</totalsRowFormula>
    </tableColumn>
    <tableColumn id="3" xr3:uid="{6FA82583-E1BE-4017-8CBC-2AEDFD75807C}" name="Actual _x000a_cost" totalsRowFunction="custom" dataDxfId="1964" totalsRowDxfId="1963">
      <totalsRowFormula>SUM(Loans182[Actual 
cost])</totalsRowFormula>
    </tableColumn>
    <tableColumn id="4" xr3:uid="{1C67513B-64CB-4AB8-943A-EDCE1AB2FE44}" name="Difference" totalsRowFunction="sum" dataDxfId="1962" totalsRowDxfId="1961">
      <calculatedColumnFormula>Loans182[[#This Row],[Projected 
cost]]-Loans182[[#This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2" xr:uid="{1528B47C-4B0F-40AF-B8E7-B711F3E438CC}" name="Transportation183" displayName="Transportation183" ref="A52:D60" totalsRowCount="1" headerRowDxfId="1960" dataDxfId="1958" totalsRowDxfId="1956" headerRowBorderDxfId="1959" tableBorderDxfId="1957" totalsRowBorderDxfId="1955">
  <autoFilter ref="A52:D59" xr:uid="{3791348C-6B86-4DC3-9AC7-E3294CB9F519}"/>
  <tableColumns count="4">
    <tableColumn id="1" xr3:uid="{D864223D-561E-4B8C-9040-0FE07AC0FA45}" name="Category" totalsRowLabel="Subtotal" dataDxfId="1954" totalsRowDxfId="1953"/>
    <tableColumn id="2" xr3:uid="{34BECF5A-D996-4F72-84FF-343617BA4C6C}" name="Projected _x000a_cost" totalsRowFunction="custom" dataDxfId="1952" totalsRowDxfId="1951">
      <totalsRowFormula>SUM(Transportation183[Projected 
cost])</totalsRowFormula>
    </tableColumn>
    <tableColumn id="3" xr3:uid="{FEE3742A-A151-4EF0-841A-35D8E9D027AE}" name="Actual _x000a_cost" totalsRowFunction="custom" dataDxfId="1950" totalsRowDxfId="1949">
      <totalsRowFormula>SUM(Transportation183[Actual 
cost])</totalsRowFormula>
    </tableColumn>
    <tableColumn id="4" xr3:uid="{3B40B961-6DED-4744-80B6-452E70C5B1E5}" name="Difference" totalsRowFunction="sum" dataDxfId="1948" totalsRowDxfId="1947">
      <calculatedColumnFormula>Transportation183[[#This Row],[Projected 
cost]]-Transportation183[[#This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4" xr:uid="{EA86AC67-E761-4AC8-87C8-C04AB889FA1F}" name="Insurance185" displayName="Insurance185" ref="A63:D68" totalsRowCount="1" headerRowDxfId="1946" dataDxfId="1944" totalsRowDxfId="1942" headerRowBorderDxfId="1945" tableBorderDxfId="1943" totalsRowBorderDxfId="1941">
  <autoFilter ref="A63:D67" xr:uid="{97815EBA-35E4-46C9-99FC-9A9B6F57B9D9}"/>
  <tableColumns count="4">
    <tableColumn id="1" xr3:uid="{D24D0CD2-BA5A-4CEE-B927-050167F2FFB2}" name="Category" totalsRowLabel="Subtotal" dataDxfId="1940" totalsRowDxfId="1939"/>
    <tableColumn id="2" xr3:uid="{F1F942EE-7283-40FD-934F-DB12F8F5D809}" name="Projected_x000a_cost" totalsRowLabel="$0.00" dataDxfId="1938" totalsRowDxfId="1937"/>
    <tableColumn id="3" xr3:uid="{8F65FB18-5070-4A49-9D08-3A28B3420CC8}" name="Actual _x000a_cost" totalsRowFunction="custom" dataDxfId="1936" totalsRowDxfId="1935">
      <totalsRowFormula>SUM(Insurance185[Actual 
cost])</totalsRowFormula>
    </tableColumn>
    <tableColumn id="4" xr3:uid="{0625B257-121C-4FA3-A227-D02C3F0C0B10}" name="Difference" totalsRowFunction="sum" dataDxfId="1934" totalsRowDxfId="1933">
      <calculatedColumnFormula>Insurance185[[#This Row],[Projected
cost]]-Insurance185[[#This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6" xr:uid="{3EA425D8-DBEA-4EF6-9E03-C59B0567A3D5}" name="Taxes187" displayName="Taxes187" ref="F63:I68" totalsRowCount="1" headerRowDxfId="1932" dataDxfId="1930" totalsRowDxfId="1928" headerRowBorderDxfId="1931" tableBorderDxfId="1929" totalsRowBorderDxfId="1927">
  <autoFilter ref="F63:I67" xr:uid="{41433824-9014-42A3-A455-96583DB291E2}"/>
  <tableColumns count="4">
    <tableColumn id="1" xr3:uid="{27551381-153E-472A-B683-D284DAD5FA7E}" name="Category" totalsRowLabel="Subtotal" dataDxfId="1926" totalsRowDxfId="1925"/>
    <tableColumn id="2" xr3:uid="{D2B743D4-D6AC-4799-90B8-C1F18D30A853}" name="Projected _x000a_cost" totalsRowFunction="custom" dataDxfId="1924" totalsRowDxfId="1923">
      <totalsRowFormula>SUM(Taxes187[Projected 
cost])</totalsRowFormula>
    </tableColumn>
    <tableColumn id="3" xr3:uid="{61F8FA9B-B1E4-429C-87F6-96FF90CB3B86}" name="Actual _x000a_cost" totalsRowFunction="custom" dataDxfId="1922" totalsRowDxfId="1921">
      <totalsRowFormula>SUM(Taxes187[Actual 
cost])</totalsRowFormula>
    </tableColumn>
    <tableColumn id="4" xr3:uid="{DB8A05AB-1B38-483C-9F36-9E5A489DED2D}" name="Difference" totalsRowFunction="sum" dataDxfId="1920" totalsRowDxfId="1919">
      <calculatedColumnFormula>Taxes187[[#This Row],[Projected 
cost]]-Taxes187[[#This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8" xr:uid="{425D4675-0CA3-4F05-A7BC-A2B42A62C4F7}" name="Savings189" displayName="Savings189" ref="F71:I75" totalsRowCount="1" headerRowDxfId="1918" dataDxfId="1916" totalsRowDxfId="1915" headerRowBorderDxfId="1917" totalsRowBorderDxfId="1914">
  <autoFilter ref="F71:I74" xr:uid="{E1977D02-FD4F-4559-BAF7-ADB98963CB0F}"/>
  <tableColumns count="4">
    <tableColumn id="1" xr3:uid="{F737BC85-57ED-43F8-9C03-6832C7FAEC65}" name="Category" totalsRowLabel="Subtotal" dataDxfId="1913" totalsRowDxfId="1912"/>
    <tableColumn id="2" xr3:uid="{3C3C47C7-85F4-440E-B48B-6BA43F77B5CA}" name="Projected _x000a_cost" totalsRowFunction="custom" dataDxfId="1911" totalsRowDxfId="1910">
      <totalsRowFormula>SUM(Savings189[Projected 
cost])</totalsRowFormula>
    </tableColumn>
    <tableColumn id="3" xr3:uid="{920D4F43-E639-49D1-82D7-8D3AC694F90D}" name="Actual _x000a_cost" totalsRowFunction="custom" dataDxfId="1909" totalsRowDxfId="1908">
      <totalsRowFormula>SUM(Savings189[Actual 
cost])</totalsRowFormula>
    </tableColumn>
    <tableColumn id="4" xr3:uid="{3BB6E66D-5649-467F-A51C-509A61B36D94}" name="Difference" totalsRowFunction="sum" dataDxfId="1907" totalsRowDxfId="1906">
      <calculatedColumnFormula>Savings189[[#This Row],[Projected 
cost]]-Savings189[[#This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0" xr:uid="{10D29BCE-7395-43D4-AA39-6D644A74FB26}" name="Food191" displayName="Food191" ref="A71:D75" totalsRowCount="1" headerRowDxfId="1905" dataDxfId="1903" totalsRowDxfId="1901" headerRowBorderDxfId="1904" tableBorderDxfId="1902" totalsRowBorderDxfId="1900">
  <autoFilter ref="A71:D74" xr:uid="{752B363C-2D82-4416-B41B-450F9541E34C}"/>
  <tableColumns count="4">
    <tableColumn id="1" xr3:uid="{28E55AF8-AB60-4EEC-8583-BEE39A8AFF03}" name="Category" totalsRowLabel="Subtotal" dataDxfId="1899" totalsRowDxfId="1898"/>
    <tableColumn id="2" xr3:uid="{D4C5E37E-759C-46DF-B041-BE48663890AC}" name="Projected _x000a_cost" totalsRowFunction="custom" dataDxfId="1897" totalsRowDxfId="1896">
      <totalsRowFormula>SUM(Food191[Projected 
cost])</totalsRowFormula>
    </tableColumn>
    <tableColumn id="3" xr3:uid="{0E17DC19-32D5-4D7F-BB52-1366AFFD7453}" name="Actual _x000a_cost" totalsRowFunction="custom" dataDxfId="1895" totalsRowDxfId="1894">
      <totalsRowFormula>SUM(Food191[Actual 
cost])</totalsRowFormula>
    </tableColumn>
    <tableColumn id="4" xr3:uid="{91C12445-C41C-4D67-AFBF-91627CE6CCA3}" name="Difference" totalsRowFunction="sum" dataDxfId="1893" totalsRowDxfId="1892">
      <calculatedColumnFormula>Food191[[#This Row],[Projected 
cost]]-Food191[[#This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2" xr:uid="{A42E13F7-1912-41B9-8903-6EA1EDFE616D}" name="Gifts193" displayName="Gifts193" ref="F78:I82" totalsRowCount="1" headerRowDxfId="1891" dataDxfId="1889" totalsRowDxfId="1888" headerRowBorderDxfId="1890" totalsRowBorderDxfId="1887">
  <autoFilter ref="F78:I81" xr:uid="{14E81561-7182-48EB-877C-1D3C0D007945}"/>
  <tableColumns count="4">
    <tableColumn id="1" xr3:uid="{831A52BA-E5C0-4D7F-B579-CB6973838BB0}" name="Category" totalsRowLabel="Subtotal" dataDxfId="1886" totalsRowDxfId="1885"/>
    <tableColumn id="2" xr3:uid="{B796E9D4-A2FC-452B-8B84-1ABDB5BE274D}" name="Projected _x000a_cost" totalsRowFunction="custom" dataDxfId="1884" totalsRowDxfId="1883">
      <totalsRowFormula>SUM(Gifts193[Projected 
cost])</totalsRowFormula>
    </tableColumn>
    <tableColumn id="3" xr3:uid="{3B2E8402-B9EF-4F40-ADFA-19EEE4E3E528}" name="Actual _x000a_cost" totalsRowFunction="custom" dataDxfId="1882" totalsRowDxfId="1881">
      <totalsRowFormula>SUM(Gifts193[Actual 
cost])</totalsRowFormula>
    </tableColumn>
    <tableColumn id="4" xr3:uid="{E5A0E466-2BB2-4FB5-8FE2-3DBF78A1EAFE}" name="Difference" totalsRowFunction="sum" dataDxfId="1880" totalsRowDxfId="1879">
      <calculatedColumnFormula>Gifts193[[#This Row],[Projected 
cost]]-Gifts193[[#This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4" xr:uid="{1A24A120-5E7E-4863-99AE-E03F6C8C67FA}" name="Pets195" displayName="Pets195" ref="A78:D84" totalsRowCount="1" headerRowDxfId="1878" dataDxfId="1876" totalsRowDxfId="1875" headerRowBorderDxfId="1877" totalsRowBorderDxfId="1874">
  <autoFilter ref="A78:D83" xr:uid="{BB8FB9C3-90C8-4A9B-94EA-89218C8670C2}"/>
  <tableColumns count="4">
    <tableColumn id="1" xr3:uid="{021D7032-E5E0-4D53-AEE6-3DB34E86626A}" name="Category" totalsRowLabel="Subtotal" dataDxfId="1873" totalsRowDxfId="1872"/>
    <tableColumn id="2" xr3:uid="{F7AF50AF-89EF-4C26-8209-38C872ED9CC1}" name="Projected _x000a_cost" totalsRowFunction="custom" dataDxfId="1871" totalsRowDxfId="1870">
      <totalsRowFormula>SUM(Pets195[Projected 
cost])</totalsRowFormula>
    </tableColumn>
    <tableColumn id="3" xr3:uid="{368003A3-EC8C-48D8-846D-7DB849FA315E}" name="Actual _x000a_cost" totalsRowFunction="custom" dataDxfId="1869" totalsRowDxfId="1868">
      <totalsRowFormula>SUM(Pets195[Actual 
cost])</totalsRowFormula>
    </tableColumn>
    <tableColumn id="4" xr3:uid="{F7C34C27-2F48-4C03-8D2F-F8C8F5D188E2}" name="Difference" totalsRowFunction="sum" dataDxfId="1867" totalsRowDxfId="1866">
      <calculatedColumnFormula>Pets195[[#This Row],[Projected 
cost]]-Pets195[[#This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6" xr:uid="{7FF36978-5A43-4981-9EE6-1F2C50829EBC}" name="PersonalCare197" displayName="PersonalCare197" ref="A87:D95" totalsRowCount="1" headerRowDxfId="1865" dataDxfId="1863" totalsRowDxfId="1862" headerRowBorderDxfId="1864" totalsRowBorderDxfId="1861">
  <autoFilter ref="A87:D94" xr:uid="{2CBFA43E-52CB-48F8-AA14-1E41A126831F}"/>
  <tableColumns count="4">
    <tableColumn id="1" xr3:uid="{9E332391-2F9D-4614-9F73-956D933A436D}" name="Category" totalsRowLabel="Subtotal" dataDxfId="1860" totalsRowDxfId="1859"/>
    <tableColumn id="2" xr3:uid="{D4CFBAA7-676B-4E00-8B03-12D9336729CB}" name="Projected _x000a_cost" totalsRowFunction="custom" dataDxfId="1858" totalsRowDxfId="1857">
      <totalsRowFormula>SUM(PersonalCare197[Projected 
cost])</totalsRowFormula>
    </tableColumn>
    <tableColumn id="3" xr3:uid="{47263C8E-C0A5-4272-81B0-D6551BD46EB4}" name="Actual _x000a_cost" totalsRowFunction="custom" dataDxfId="1856" totalsRowDxfId="1855">
      <totalsRowFormula>SUM(PersonalCare197[Actual 
cost])</totalsRowFormula>
    </tableColumn>
    <tableColumn id="4" xr3:uid="{176541E0-BC37-4668-B79D-37BB000EFDA1}" name="Difference" totalsRowFunction="sum" dataDxfId="1854" totalsRowDxfId="1853">
      <calculatedColumnFormula>PersonalCare197[[#This Row],[Projected 
cost]]-PersonalCare197[[#This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7" xr:uid="{251EACC4-02D6-4367-B844-8000FCD8ECE0}" name="Legal198" displayName="Legal198" ref="F87:I92" totalsRowCount="1" headerRowDxfId="1852" dataDxfId="1850" totalsRowDxfId="1849" headerRowBorderDxfId="1851" totalsRowBorderDxfId="1848">
  <autoFilter ref="F87:I91" xr:uid="{CE9CF11C-4460-46D8-B94F-D7DB1A431F85}"/>
  <tableColumns count="4">
    <tableColumn id="1" xr3:uid="{9D9EEE3C-F01E-49C0-831C-1A377E6381FE}" name="Category" totalsRowLabel="Subtotal" dataDxfId="1847" totalsRowDxfId="1846"/>
    <tableColumn id="2" xr3:uid="{523D054E-C9F1-4EA4-8F6F-3EB471D09A55}" name="Projected _x000a_cost" totalsRowFunction="custom" dataDxfId="1845" totalsRowDxfId="1844">
      <totalsRowFormula>SUM(Legal198[Projected 
cost])</totalsRowFormula>
    </tableColumn>
    <tableColumn id="3" xr3:uid="{AC52B2CB-2E02-4F6A-8F7B-8D32CAAD09B0}" name="Actual _x000a_cost" totalsRowFunction="custom" dataDxfId="1843" totalsRowDxfId="1842">
      <totalsRowFormula>SUM(Legal198[Actual 
cost])</totalsRowFormula>
    </tableColumn>
    <tableColumn id="4" xr3:uid="{FB047FD5-F7E0-470E-A172-A57150D8EE82}" name="Difference" totalsRowFunction="sum" dataDxfId="1841" totalsRowDxfId="1840">
      <calculatedColumnFormula>Legal198[[#This Row],[Projected 
cost]]-Legal198[[#This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8" xr:uid="{E1C2385A-0776-40CA-B773-786CE64F68A5}" name="Table176199" displayName="Table176199" ref="J52:J63" totalsRowShown="0" headerRowDxfId="1839" dataDxfId="1838">
  <autoFilter ref="J52:J63" xr:uid="{84D7483B-0AA3-443D-B077-CB614166CB8E}"/>
  <tableColumns count="1">
    <tableColumn id="1" xr3:uid="{70A53582-2B3D-47FE-930E-AB533CDA5ECA}" name="Total Amount Owed" dataDxfId="1837"/>
  </tableColumns>
  <tableStyleInfo name="Address Book"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0" xr:uid="{C683148D-51D7-484C-82C2-708783C57C88}" name="Table1516116201" displayName="Table1516116201" ref="C3:E40" totalsRowShown="0" headerRowCellStyle="Currency" dataCellStyle="Currency">
  <autoFilter ref="C3:E40" xr:uid="{A2C35252-D38E-4A14-BF19-C14532D2BA19}"/>
  <tableColumns count="3">
    <tableColumn id="1" xr3:uid="{2562A341-2E47-4128-B9F0-82D1BE8E4E61}" name="Credit Card Balances " dataCellStyle="Currency">
      <calculatedColumnFormula>#REF!</calculatedColumnFormula>
    </tableColumn>
    <tableColumn id="2" xr3:uid="{B3329B29-B48E-448F-8899-B5413498454E}" name="Budgeted Amount" dataCellStyle="Currency"/>
    <tableColumn id="3" xr3:uid="{3F00E59A-719E-40B9-B2DF-BE240308AFCE}" name="Interest" dataDxfId="1836" dataCellStyle="Percent"/>
  </tableColumns>
  <tableStyleInfo name="TableStyleMedium2"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1" xr:uid="{A25B588C-A021-4C04-9DF9-6FD1362DA074}" name="Table17218202" displayName="Table17218202" ref="B3:B40" totalsRowShown="0" headerRowCellStyle="Currency" dataCellStyle="Currency">
  <autoFilter ref="B3:B40" xr:uid="{84E0FCCA-604E-4CFC-A3ED-829019A207A1}"/>
  <tableColumns count="1">
    <tableColumn id="1" xr3:uid="{14E684D5-F65B-4B8E-B931-3EAED62B3330}" name="Credit Card " dataCellStyle="Currency"/>
  </tableColumns>
  <tableStyleInfo name="TableStyleMedium2"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2" xr:uid="{C864FCF3-DA19-4349-859F-B406CD8FDBEA}" name="Table175200202174203" displayName="Table175200202174203" ref="B44:G65" totalsRowShown="0">
  <autoFilter ref="B44:G65" xr:uid="{22F8BEB6-9F00-4EC8-9EC9-8638209FE1D0}"/>
  <tableColumns count="6">
    <tableColumn id="1" xr3:uid="{51AFD199-0A5F-42D5-95C0-488D8C7EA5A4}" name="Lender"/>
    <tableColumn id="6" xr3:uid="{CDAC545E-77FB-405F-9708-BBD24912F358}" name="Loan Type"/>
    <tableColumn id="5" xr3:uid="{4EC190B2-4550-4ABB-9FBE-F1CE8AED9F80}" name="Loan Amount" dataCellStyle="Currency"/>
    <tableColumn id="2" xr3:uid="{F6101E59-1773-43A7-AC05-3D895617BAB0}" name="Interest"/>
    <tableColumn id="3" xr3:uid="{FD45D0E8-F18B-4B84-9A91-FEA84CA54C56}" name="Budgeted Amount" dataCellStyle="Currency"/>
    <tableColumn id="4" xr3:uid="{103B622C-9289-4CD1-BCAA-DA729966700D}" name="Link "/>
  </tableColumns>
  <tableStyleInfo name="TableStyleMedium2"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3" xr:uid="{65BA0DC7-73F3-48BD-897A-F747303F7CDF}" name="Table177204" displayName="Table177204" ref="F3:F41" totalsRowShown="0">
  <autoFilter ref="F3:F41" xr:uid="{521A51DA-26B2-4803-931E-53A3500E395A}"/>
  <tableColumns count="1">
    <tableColumn id="1" xr3:uid="{2D7122F1-18D4-422B-9627-5D7E8E1D19B4}" name="Links"/>
  </tableColumns>
  <tableStyleInfo name="TableStyleMedium2"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0" xr:uid="{909D6EC6-1B64-4C87-B539-0CE0C39A1691}" name="Housing179205231" displayName="Housing179205231" ref="A38:D49" totalsRowCount="1" headerRowDxfId="1835" dataDxfId="1833" totalsRowDxfId="1831" headerRowBorderDxfId="1834" tableBorderDxfId="1832" totalsRowBorderDxfId="1830">
  <autoFilter ref="A38:D48" xr:uid="{EC273E32-6E66-412D-9274-02C7232B97EF}"/>
  <tableColumns count="4">
    <tableColumn id="1" xr3:uid="{D5F3B6F1-1420-4552-BBE3-8A38708CB6DB}" name="Category" totalsRowLabel="Subtotal" dataDxfId="1829" totalsRowDxfId="1828"/>
    <tableColumn id="2" xr3:uid="{64D5EA6B-C0DF-43F2-8E67-FA726EAD911F}" name="Projected_x000a_cost" totalsRowFunction="custom" dataDxfId="1827" totalsRowDxfId="1826">
      <totalsRowFormula>SUM(Housing179205231[Projected
cost])</totalsRowFormula>
    </tableColumn>
    <tableColumn id="3" xr3:uid="{778F67AC-2849-42B3-A32E-EC0C42186E8D}" name="Actual _x000a_cost" totalsRowFunction="custom" dataDxfId="1825" totalsRowDxfId="1824">
      <totalsRowFormula>SUM(Housing179205231[Actual 
cost])</totalsRowFormula>
    </tableColumn>
    <tableColumn id="4" xr3:uid="{7E78C7DF-6766-4C42-99FF-368ED2063F13}" name="Difference" totalsRowFunction="sum" dataDxfId="1823" totalsRowDxfId="1822"/>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1" xr:uid="{356C958A-08A9-48C4-9E9F-AF815C0AD15D}" name="Entertainment180206232" displayName="Entertainment180206232" ref="F38:I48" totalsRowCount="1" headerRowDxfId="1821" dataDxfId="1819" totalsRowDxfId="1817" headerRowBorderDxfId="1820" tableBorderDxfId="1818" totalsRowBorderDxfId="1816" headerRowCellStyle="Normal">
  <autoFilter ref="F38:I47" xr:uid="{ABCD7A91-8B8E-4420-BB8E-404C23881506}"/>
  <tableColumns count="4">
    <tableColumn id="1" xr3:uid="{43C61156-0470-4507-AEF5-F85B2A38DCAA}" name="Category" totalsRowLabel="Subtotal" dataDxfId="1815" totalsRowDxfId="1814"/>
    <tableColumn id="2" xr3:uid="{8008900B-E2FC-44C9-B888-63102A99A0CA}" name="Projected _x000a_cost" totalsRowFunction="custom" dataDxfId="1813" totalsRowDxfId="1812">
      <totalsRowFormula>SUM(Entertainment180206232[Projected 
cost])</totalsRowFormula>
    </tableColumn>
    <tableColumn id="3" xr3:uid="{A65F0BFA-A709-4F69-9DBE-45070AFEAB44}" name="Actual _x000a_cost" totalsRowFunction="custom" dataDxfId="1811" totalsRowDxfId="1810">
      <totalsRowFormula>SUM(Entertainment180206232[Actual 
cost])</totalsRowFormula>
    </tableColumn>
    <tableColumn id="4" xr3:uid="{7FDE0756-3DBE-461F-87EF-DA143D46FA00}" name="Difference" totalsRowFunction="sum" dataDxfId="1809" totalsRowDxfId="1808">
      <calculatedColumnFormula>Entertainment180206232[[#This Row],[Projected 
cost]]-Entertainment180206232[[#This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2F35F007-530D-4721-94F6-01F234F6C7A2}" name="Loans182207233" displayName="Loans182207233" ref="F52:I59" totalsRowCount="1" headerRowDxfId="1807" dataDxfId="1805" totalsRowDxfId="1803" headerRowBorderDxfId="1806" tableBorderDxfId="1804" totalsRowBorderDxfId="1802">
  <autoFilter ref="F52:I58" xr:uid="{46FC0980-1C10-4EC9-897C-D19A1567FFB4}"/>
  <tableColumns count="4">
    <tableColumn id="1" xr3:uid="{A428DBA6-D4DD-4C3F-BCAF-CFF05E5879ED}" name="Category" totalsRowLabel="Subtotal" dataDxfId="1801" totalsRowDxfId="1800"/>
    <tableColumn id="2" xr3:uid="{369FE6BA-7E07-49D1-AD91-89FAFEFCF2B9}" name="Projected _x000a_cost" totalsRowFunction="custom" dataDxfId="1799" totalsRowDxfId="1798">
      <totalsRowFormula>SUM(Loans182207233[Projected 
cost])</totalsRowFormula>
    </tableColumn>
    <tableColumn id="3" xr3:uid="{FBCCF685-D22C-43FB-9AB8-475873F40C23}" name="Actual _x000a_cost" totalsRowFunction="custom" dataDxfId="1797" totalsRowDxfId="1796">
      <totalsRowFormula>SUM(Loans182207233[Actual 
cost])</totalsRowFormula>
    </tableColumn>
    <tableColumn id="4" xr3:uid="{1093F396-5AC7-4BE7-AF13-23B93889895D}" name="Difference" totalsRowFunction="sum" dataDxfId="1795" totalsRowDxfId="1794">
      <calculatedColumnFormula>Loans182207233[[#This Row],[Projected 
cost]]-Loans182207233[[#This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3" xr:uid="{621E6795-5F85-4031-A51A-521C51A053FA}" name="Transportation183208234" displayName="Transportation183208234" ref="A52:D60" totalsRowCount="1" headerRowDxfId="1793" dataDxfId="1791" totalsRowDxfId="1789" headerRowBorderDxfId="1792" tableBorderDxfId="1790" totalsRowBorderDxfId="1788">
  <autoFilter ref="A52:D59" xr:uid="{3791348C-6B86-4DC3-9AC7-E3294CB9F519}"/>
  <tableColumns count="4">
    <tableColumn id="1" xr3:uid="{DE5A7D3D-C8FE-4ED8-8358-AACC672EDA4C}" name="Category" totalsRowLabel="Subtotal" dataDxfId="1787" totalsRowDxfId="1786"/>
    <tableColumn id="2" xr3:uid="{E58CDAB0-7B1F-44A3-905C-14D685CF3586}" name="Projected _x000a_cost" totalsRowFunction="custom" dataDxfId="1785" totalsRowDxfId="1784">
      <totalsRowFormula>SUM(Transportation183208234[Projected 
cost])</totalsRowFormula>
    </tableColumn>
    <tableColumn id="3" xr3:uid="{6FF2DCB2-6128-49AC-9560-99535A463E29}" name="Actual _x000a_cost" totalsRowFunction="custom" dataDxfId="1783" totalsRowDxfId="1782">
      <totalsRowFormula>SUM(Transportation183208234[Actual 
cost])</totalsRowFormula>
    </tableColumn>
    <tableColumn id="4" xr3:uid="{F8E0EACD-9DC3-4517-8C20-43B3B0CA4B35}" name="Difference" totalsRowFunction="sum" dataDxfId="1781" totalsRowDxfId="1780">
      <calculatedColumnFormula>Transportation183208234[[#This Row],[Projected 
cost]]-Transportation183208234[[#This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4" xr:uid="{5B51A5D3-6768-413D-A636-D14BF5D5938D}" name="Insurance185209235" displayName="Insurance185209235" ref="A63:D68" totalsRowCount="1" headerRowDxfId="1779" dataDxfId="1777" totalsRowDxfId="1775" headerRowBorderDxfId="1778" tableBorderDxfId="1776" totalsRowBorderDxfId="1774">
  <autoFilter ref="A63:D67" xr:uid="{97815EBA-35E4-46C9-99FC-9A9B6F57B9D9}"/>
  <tableColumns count="4">
    <tableColumn id="1" xr3:uid="{2F8FB485-416C-403D-A9E4-76E98936A7DB}" name="Category" totalsRowLabel="Subtotal" dataDxfId="1773" totalsRowDxfId="1772"/>
    <tableColumn id="2" xr3:uid="{A70B9BAD-284C-4232-A102-3DEFC595D029}" name="Projected_x000a_cost" totalsRowLabel="$0.00" dataDxfId="1771" totalsRowDxfId="1770"/>
    <tableColumn id="3" xr3:uid="{AEC18B75-1A67-42F4-AED5-3BA19EF5216A}" name="Actual _x000a_cost" totalsRowFunction="custom" dataDxfId="1769" totalsRowDxfId="1768">
      <totalsRowFormula>SUM(Insurance185209235[Actual 
cost])</totalsRowFormula>
    </tableColumn>
    <tableColumn id="4" xr3:uid="{17F6F101-EF31-49D6-BAFF-FC33C19856B8}" name="Difference" totalsRowFunction="sum" dataDxfId="1767" totalsRowDxfId="1766">
      <calculatedColumnFormula>Insurance185209235[[#This Row],[Projected
cost]]-Insurance185209235[[#This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5" xr:uid="{33B62C0B-DE6B-436C-B143-32D3BB67F18D}" name="Taxes187210236" displayName="Taxes187210236" ref="F63:I68" totalsRowCount="1" headerRowDxfId="1765" dataDxfId="1763" totalsRowDxfId="1761" headerRowBorderDxfId="1764" tableBorderDxfId="1762" totalsRowBorderDxfId="1760">
  <autoFilter ref="F63:I67" xr:uid="{41433824-9014-42A3-A455-96583DB291E2}"/>
  <tableColumns count="4">
    <tableColumn id="1" xr3:uid="{18FA79D2-BD74-4C95-B588-5334759D1DDE}" name="Category" totalsRowLabel="Subtotal" dataDxfId="1759" totalsRowDxfId="1758"/>
    <tableColumn id="2" xr3:uid="{DF4FA0B3-85B8-4535-8AB3-70326B6B6062}" name="Projected _x000a_cost" totalsRowFunction="custom" dataDxfId="1757" totalsRowDxfId="1756">
      <totalsRowFormula>SUM(Taxes187210236[Projected 
cost])</totalsRowFormula>
    </tableColumn>
    <tableColumn id="3" xr3:uid="{863E50E2-3DFE-46B6-B4DE-5A7E1DAB366C}" name="Actual _x000a_cost" totalsRowFunction="custom" dataDxfId="1755" totalsRowDxfId="1754">
      <totalsRowFormula>SUM(Taxes187210236[Actual 
cost])</totalsRowFormula>
    </tableColumn>
    <tableColumn id="4" xr3:uid="{ACD0E0E3-70C2-479D-8E34-824AE4709364}" name="Difference" totalsRowFunction="sum" dataDxfId="1753" totalsRowDxfId="1752">
      <calculatedColumnFormula>Taxes187210236[[#This Row],[Projected 
cost]]-Taxes187210236[[#This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6" xr:uid="{FF6E261D-4932-47C4-BE4E-80DC0F9A757E}" name="Savings189211237" displayName="Savings189211237" ref="F71:I75" totalsRowCount="1" headerRowDxfId="1751" dataDxfId="1749" totalsRowDxfId="1748" headerRowBorderDxfId="1750" totalsRowBorderDxfId="1747">
  <autoFilter ref="F71:I74" xr:uid="{E1977D02-FD4F-4559-BAF7-ADB98963CB0F}"/>
  <tableColumns count="4">
    <tableColumn id="1" xr3:uid="{8B661262-4BC6-48CA-A595-A338262CC64F}" name="Category" totalsRowLabel="Subtotal" dataDxfId="1746" totalsRowDxfId="1745"/>
    <tableColumn id="2" xr3:uid="{7E813C86-BA33-46A7-BAED-DF55CBC804BD}" name="Projected _x000a_cost" totalsRowFunction="custom" dataDxfId="1744" totalsRowDxfId="1743">
      <totalsRowFormula>SUM(Savings189211237[Projected 
cost])</totalsRowFormula>
    </tableColumn>
    <tableColumn id="3" xr3:uid="{F6534DD2-5FFE-4DEC-9428-2F1261A1A664}" name="Actual _x000a_cost" totalsRowFunction="custom" dataDxfId="1742" totalsRowDxfId="1741">
      <totalsRowFormula>SUM(Savings189211237[Actual 
cost])</totalsRowFormula>
    </tableColumn>
    <tableColumn id="4" xr3:uid="{946438C0-A68A-41EC-9495-B8A28C42C705}" name="Difference" totalsRowFunction="sum" dataDxfId="1740" totalsRowDxfId="1739">
      <calculatedColumnFormula>Savings189211237[[#This Row],[Projected 
cost]]-Savings189211237[[#This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7" xr:uid="{375DD08D-02A2-4BBE-A375-710DD84D5077}" name="Food191212238" displayName="Food191212238" ref="A71:D75" totalsRowCount="1" headerRowDxfId="1738" dataDxfId="1736" totalsRowDxfId="1734" headerRowBorderDxfId="1737" tableBorderDxfId="1735" totalsRowBorderDxfId="1733">
  <autoFilter ref="A71:D74" xr:uid="{752B363C-2D82-4416-B41B-450F9541E34C}"/>
  <tableColumns count="4">
    <tableColumn id="1" xr3:uid="{26FE4A5B-061B-4A3F-ACCD-99B9668A2485}" name="Category" totalsRowLabel="Subtotal" dataDxfId="1732" totalsRowDxfId="1731"/>
    <tableColumn id="2" xr3:uid="{E76133A3-F2F1-4036-AF1E-2607A06B90E2}" name="Projected _x000a_cost" totalsRowFunction="custom" dataDxfId="1730" totalsRowDxfId="1729">
      <totalsRowFormula>SUM(Food191212238[Projected 
cost])</totalsRowFormula>
    </tableColumn>
    <tableColumn id="3" xr3:uid="{F97F40A3-3BD8-4EDD-B1B5-12F3A9F67907}" name="Actual _x000a_cost" totalsRowFunction="custom" dataDxfId="1728" totalsRowDxfId="1727">
      <totalsRowFormula>SUM(Food191212238[Actual 
cost])</totalsRowFormula>
    </tableColumn>
    <tableColumn id="4" xr3:uid="{712FD0EB-98BD-4814-9A3F-691C39446049}" name="Difference" totalsRowFunction="sum" dataDxfId="1726" totalsRowDxfId="1725">
      <calculatedColumnFormula>Food191212238[[#This Row],[Projected 
cost]]-Food191212238[[#This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8" xr:uid="{0E400696-F83F-4FEF-9E9E-C64086D2B9C4}" name="Gifts193213239" displayName="Gifts193213239" ref="F78:I82" totalsRowCount="1" headerRowDxfId="1724" dataDxfId="1722" totalsRowDxfId="1721" headerRowBorderDxfId="1723" totalsRowBorderDxfId="1720">
  <autoFilter ref="F78:I81" xr:uid="{14E81561-7182-48EB-877C-1D3C0D007945}"/>
  <tableColumns count="4">
    <tableColumn id="1" xr3:uid="{E09259F2-F473-4067-B9C4-2A85781BB3F9}" name="Category" totalsRowLabel="Subtotal" dataDxfId="1719" totalsRowDxfId="1718"/>
    <tableColumn id="2" xr3:uid="{D460F015-23EC-4D56-AE74-14254C3BD216}" name="Projected _x000a_cost" totalsRowFunction="custom" dataDxfId="1717" totalsRowDxfId="1716">
      <totalsRowFormula>SUM(Gifts193213239[Projected 
cost])</totalsRowFormula>
    </tableColumn>
    <tableColumn id="3" xr3:uid="{6BF5E925-19FC-4DDC-B10B-A6918E380F0B}" name="Actual _x000a_cost" totalsRowFunction="custom" dataDxfId="1715" totalsRowDxfId="1714">
      <totalsRowFormula>SUM(Gifts193213239[Actual 
cost])</totalsRowFormula>
    </tableColumn>
    <tableColumn id="4" xr3:uid="{26FF4F6F-FC7F-42E8-B174-37BD33C82E67}" name="Difference" totalsRowFunction="sum" dataDxfId="1713" totalsRowDxfId="1712">
      <calculatedColumnFormula>Gifts193213239[[#This Row],[Projected 
cost]]-Gifts193213239[[#This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9" xr:uid="{0E9D4F42-6C44-44A2-83CB-1C97B959EB77}" name="Pets195214240" displayName="Pets195214240" ref="A78:D84" totalsRowCount="1" headerRowDxfId="1711" dataDxfId="1709" totalsRowDxfId="1708" headerRowBorderDxfId="1710" totalsRowBorderDxfId="1707">
  <autoFilter ref="A78:D83" xr:uid="{BB8FB9C3-90C8-4A9B-94EA-89218C8670C2}"/>
  <tableColumns count="4">
    <tableColumn id="1" xr3:uid="{79952588-7548-4967-BF58-2ABCC4D0B69F}" name="Category" totalsRowLabel="Subtotal" dataDxfId="1706" totalsRowDxfId="1705"/>
    <tableColumn id="2" xr3:uid="{F292EB42-628F-4992-9707-D121941526D0}" name="Projected _x000a_cost" totalsRowFunction="custom" dataDxfId="1704" totalsRowDxfId="1703">
      <totalsRowFormula>SUM(Pets195214240[Projected 
cost])</totalsRowFormula>
    </tableColumn>
    <tableColumn id="3" xr3:uid="{80FA637E-DBE2-4CB3-A860-25FE309E9A90}" name="Actual _x000a_cost" totalsRowFunction="custom" dataDxfId="1702" totalsRowDxfId="1701">
      <totalsRowFormula>SUM(Pets195214240[Actual 
cost])</totalsRowFormula>
    </tableColumn>
    <tableColumn id="4" xr3:uid="{8DF504B0-4007-4323-9926-914DE1F6E13B}" name="Difference" totalsRowFunction="sum" dataDxfId="1700" totalsRowDxfId="1699">
      <calculatedColumnFormula>Pets195214240[[#This Row],[Projected 
cost]]-Pets195214240[[#This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0" xr:uid="{705811F6-59C9-40C3-9BA3-D8421C7BD606}" name="PersonalCare197215241" displayName="PersonalCare197215241" ref="A87:D95" totalsRowCount="1" headerRowDxfId="1698" dataDxfId="1696" totalsRowDxfId="1695" headerRowBorderDxfId="1697" totalsRowBorderDxfId="1694">
  <autoFilter ref="A87:D94" xr:uid="{2CBFA43E-52CB-48F8-AA14-1E41A126831F}"/>
  <tableColumns count="4">
    <tableColumn id="1" xr3:uid="{F8491576-241B-4293-B859-1ED062CB4F20}" name="Category" totalsRowLabel="Subtotal" dataDxfId="1693" totalsRowDxfId="1692"/>
    <tableColumn id="2" xr3:uid="{48A70078-0C41-4409-ABBF-580C9109B8FB}" name="Projected _x000a_cost" totalsRowFunction="custom" dataDxfId="1691" totalsRowDxfId="1690">
      <totalsRowFormula>SUM(PersonalCare197215241[Projected 
cost])</totalsRowFormula>
    </tableColumn>
    <tableColumn id="3" xr3:uid="{FE5DEEB0-5975-4AF8-885D-CB8811E23850}" name="Actual _x000a_cost" totalsRowFunction="custom" dataDxfId="1689" totalsRowDxfId="1688">
      <totalsRowFormula>SUM(PersonalCare197215241[Actual 
cost])</totalsRowFormula>
    </tableColumn>
    <tableColumn id="4" xr3:uid="{FF15995B-BFB5-4986-8B3F-9D42B06D640E}" name="Difference" totalsRowFunction="sum" dataDxfId="1687" totalsRowDxfId="1686">
      <calculatedColumnFormula>PersonalCare197215241[[#This Row],[Projected 
cost]]-PersonalCare197215241[[#This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1" xr:uid="{12F55FE6-4D20-4E45-B8E3-8E95336A1872}" name="Legal198216242" displayName="Legal198216242" ref="F87:I92" totalsRowCount="1" headerRowDxfId="1685" dataDxfId="1683" totalsRowDxfId="1682" headerRowBorderDxfId="1684" totalsRowBorderDxfId="1681">
  <autoFilter ref="F87:I91" xr:uid="{CE9CF11C-4460-46D8-B94F-D7DB1A431F85}"/>
  <tableColumns count="4">
    <tableColumn id="1" xr3:uid="{CF24C1B8-23CF-448E-9967-06E5AD7205B3}" name="Category" totalsRowLabel="Subtotal" dataDxfId="1680" totalsRowDxfId="1679"/>
    <tableColumn id="2" xr3:uid="{8AA187D1-BBB2-4456-8E3A-49BEF46F568B}" name="Projected _x000a_cost" totalsRowFunction="custom" dataDxfId="1678" totalsRowDxfId="1677">
      <totalsRowFormula>SUM(Legal198216242[Projected 
cost])</totalsRowFormula>
    </tableColumn>
    <tableColumn id="3" xr3:uid="{181982E5-A7E6-4288-9512-68817A7D3F70}" name="Actual _x000a_cost" totalsRowFunction="custom" dataDxfId="1676" totalsRowDxfId="1675">
      <totalsRowFormula>SUM(Legal198216242[Actual 
cost])</totalsRowFormula>
    </tableColumn>
    <tableColumn id="4" xr3:uid="{3BFAAFAC-26AE-4594-B216-314659C7F1DF}" name="Difference" totalsRowFunction="sum" dataDxfId="1674" totalsRowDxfId="1673">
      <calculatedColumnFormula>Legal198216242[[#This Row],[Projected 
cost]]-Legal198216242[[#This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2" xr:uid="{09FD6419-C7AF-4FE5-B6A6-AECE6D4F3758}" name="Table176199217243" displayName="Table176199217243" ref="J52:J63" totalsRowShown="0" headerRowDxfId="1672" dataDxfId="1671">
  <autoFilter ref="J52:J63" xr:uid="{84D7483B-0AA3-443D-B077-CB614166CB8E}"/>
  <tableColumns count="1">
    <tableColumn id="1" xr3:uid="{BB06CF1C-EB62-4E5D-9568-FDFCC0C919BA}" name="Total Amount Owed" dataDxfId="1670"/>
  </tableColumns>
  <tableStyleInfo name="Address Book" showFirstColumn="0" showLastColumn="0" showRowStripes="1" showColumnStripes="0"/>
</table>
</file>

<file path=xl/tables/table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9" xr:uid="{7AC3D16F-684A-42D8-8E8E-A8C153880F25}" name="Table1516116270" displayName="Table1516116270" ref="C3:E40" totalsRowShown="0" headerRowCellStyle="Currency" dataCellStyle="Currency">
  <autoFilter ref="C3:E40" xr:uid="{A2C35252-D38E-4A14-BF19-C14532D2BA19}"/>
  <tableColumns count="3">
    <tableColumn id="1" xr3:uid="{05103E44-EAD1-4FFE-B84C-7402E2EB1FE7}" name="Credit Card Balances " dataCellStyle="Currency">
      <calculatedColumnFormula>#REF!</calculatedColumnFormula>
    </tableColumn>
    <tableColumn id="2" xr3:uid="{8899A7EE-2004-485E-A620-AB3DEFA8E418}" name="Budgeted Amount" dataCellStyle="Currency"/>
    <tableColumn id="3" xr3:uid="{72CF0979-C985-4214-B46C-F03B8E611217}" name="Interest" dataDxfId="1669" dataCellStyle="Percent"/>
  </tableColumns>
  <tableStyleInfo name="TableStyleMedium2" showFirstColumn="0" showLastColumn="0" showRowStripes="1" showColumnStripes="0"/>
</table>
</file>

<file path=xl/tables/table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0" xr:uid="{23733A28-1249-4CA1-B22E-180D63B7E256}" name="Table17218271" displayName="Table17218271" ref="B3:B40" totalsRowShown="0" headerRowCellStyle="Currency" dataCellStyle="Currency">
  <autoFilter ref="B3:B40" xr:uid="{84E0FCCA-604E-4CFC-A3ED-829019A207A1}"/>
  <tableColumns count="1">
    <tableColumn id="1" xr3:uid="{67914BEB-85C4-4D83-BB31-0B74B74D2AFE}" name="Credit Card " dataCellStyle="Currency"/>
  </tableColumns>
  <tableStyleInfo name="TableStyleMedium2" showFirstColumn="0" showLastColumn="0" showRowStripes="1" showColumnStripes="0"/>
</table>
</file>

<file path=xl/tables/table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1" xr:uid="{C789D831-D6C0-4684-9EFA-3C8B91C97850}" name="Table175200202174272" displayName="Table175200202174272" ref="B44:G65" totalsRowShown="0">
  <autoFilter ref="B44:G65" xr:uid="{22F8BEB6-9F00-4EC8-9EC9-8638209FE1D0}"/>
  <tableColumns count="6">
    <tableColumn id="1" xr3:uid="{88B213D5-4758-4DA3-AE02-D403B0F548C6}" name="Lender"/>
    <tableColumn id="6" xr3:uid="{D97EAB63-77FF-413F-87D0-8F650FDD09A0}" name="Loan Type"/>
    <tableColumn id="5" xr3:uid="{32C2C149-44FC-4C12-AA99-7898AA653F22}" name="Loan Amount" dataCellStyle="Currency"/>
    <tableColumn id="2" xr3:uid="{98AF5C2B-FE0D-4A3F-84E6-ABF2D62A37FD}" name="Interest"/>
    <tableColumn id="3" xr3:uid="{E301EE43-370B-460D-A2C6-575CD713BECF}" name="Budgeted Amount" dataCellStyle="Currency"/>
    <tableColumn id="4" xr3:uid="{8BF33F95-7C46-47A0-B515-699B2BA5A717}" name="Link "/>
  </tableColumns>
  <tableStyleInfo name="TableStyleMedium2" showFirstColumn="0" showLastColumn="0" showRowStripes="1" showColumnStripes="0"/>
</table>
</file>

<file path=xl/tables/table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2" xr:uid="{664E6514-2B18-4728-97BE-EE4D24BA0A01}" name="Table177273" displayName="Table177273" ref="F3:F41" totalsRowShown="0">
  <autoFilter ref="F3:F41" xr:uid="{521A51DA-26B2-4803-931E-53A3500E395A}"/>
  <tableColumns count="1">
    <tableColumn id="1" xr3:uid="{DE29E6C8-D544-4C4F-9725-F1A09560DA66}" name="Links"/>
  </tableColumns>
  <tableStyleInfo name="TableStyleMedium2" showFirstColumn="0" showLastColumn="0" showRowStripes="1" showColumnStripes="0"/>
</table>
</file>

<file path=xl/tables/table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6" xr:uid="{37FB771B-FFB8-47E1-B0A4-B0A32CDB319E}" name="Housing179205231257" displayName="Housing179205231257" ref="A38:D49" totalsRowCount="1" headerRowDxfId="1668" dataDxfId="1666" totalsRowDxfId="1664" headerRowBorderDxfId="1667" tableBorderDxfId="1665" totalsRowBorderDxfId="1663">
  <autoFilter ref="A38:D48" xr:uid="{EC273E32-6E66-412D-9274-02C7232B97EF}"/>
  <tableColumns count="4">
    <tableColumn id="1" xr3:uid="{BEAF92EB-D6F6-466A-A770-DE02F0A0347A}" name="Category" totalsRowLabel="Subtotal" dataDxfId="1662" totalsRowDxfId="1661"/>
    <tableColumn id="2" xr3:uid="{28A03D89-8A28-4A6F-B72E-9B506E020327}" name="Projected_x000a_cost" totalsRowFunction="custom" dataDxfId="1660" totalsRowDxfId="1659">
      <totalsRowFormula>SUM(Housing179205231257[Projected
cost])</totalsRowFormula>
    </tableColumn>
    <tableColumn id="3" xr3:uid="{DC9D82E4-244B-444D-B31F-9EA8418743FB}" name="Actual _x000a_cost" totalsRowFunction="custom" dataDxfId="1658" totalsRowDxfId="1657">
      <totalsRowFormula>SUM(Housing179205231257[Actual 
cost])</totalsRowFormula>
    </tableColumn>
    <tableColumn id="4" xr3:uid="{3D5AF689-47BB-4D89-9DFD-3EF1AB6C7456}" name="Difference" totalsRowFunction="sum" dataDxfId="1656" totalsRowDxfId="1655"/>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7" xr:uid="{2AF08C1F-1FAB-4D9D-A81E-DE98B9D7E396}" name="Entertainment180206232258" displayName="Entertainment180206232258" ref="F38:I48" totalsRowCount="1" headerRowDxfId="1654" dataDxfId="1652" totalsRowDxfId="1650" headerRowBorderDxfId="1653" tableBorderDxfId="1651" totalsRowBorderDxfId="1649" headerRowCellStyle="Normal">
  <autoFilter ref="F38:I47" xr:uid="{ABCD7A91-8B8E-4420-BB8E-404C23881506}"/>
  <tableColumns count="4">
    <tableColumn id="1" xr3:uid="{3308E5EF-5DED-4C43-9952-FEC437C9C2D3}" name="Category" totalsRowLabel="Subtotal" dataDxfId="1648" totalsRowDxfId="1647"/>
    <tableColumn id="2" xr3:uid="{3E47F858-7A0B-4483-ACEC-7BF06416366D}" name="Projected _x000a_cost" totalsRowFunction="custom" dataDxfId="1646" totalsRowDxfId="1645">
      <totalsRowFormula>SUM(Entertainment180206232258[Projected 
cost])</totalsRowFormula>
    </tableColumn>
    <tableColumn id="3" xr3:uid="{E96D9E9B-6334-4868-9A01-3008A86165F2}" name="Actual _x000a_cost" totalsRowFunction="custom" dataDxfId="1644" totalsRowDxfId="1643">
      <totalsRowFormula>SUM(Entertainment180206232258[Actual 
cost])</totalsRowFormula>
    </tableColumn>
    <tableColumn id="4" xr3:uid="{86DAC95D-70B5-4433-8DD4-2164B89D0E05}" name="Difference" totalsRowFunction="sum" dataDxfId="1642" totalsRowDxfId="1641">
      <calculatedColumnFormula>Entertainment180206232258[[#This Row],[Projected 
cost]]-Entertainment180206232258[[#This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8" xr:uid="{D001B491-1599-4A26-A55B-157AC116B001}" name="Loans182207233259" displayName="Loans182207233259" ref="F52:I59" totalsRowCount="1" headerRowDxfId="1640" dataDxfId="1638" totalsRowDxfId="1636" headerRowBorderDxfId="1639" tableBorderDxfId="1637" totalsRowBorderDxfId="1635">
  <autoFilter ref="F52:I58" xr:uid="{46FC0980-1C10-4EC9-897C-D19A1567FFB4}"/>
  <tableColumns count="4">
    <tableColumn id="1" xr3:uid="{8B5E7003-48D8-40FE-8500-D06C06B7E45C}" name="Category" totalsRowLabel="Subtotal" dataDxfId="1634" totalsRowDxfId="1633"/>
    <tableColumn id="2" xr3:uid="{B29F22AD-269A-4C2C-9B17-09585CE2A73A}" name="Projected _x000a_cost" totalsRowFunction="custom" dataDxfId="1632" totalsRowDxfId="1631">
      <totalsRowFormula>SUM(Loans182207233259[Projected 
cost])</totalsRowFormula>
    </tableColumn>
    <tableColumn id="3" xr3:uid="{E6D6795D-1B3C-4A37-A5FE-B119A6FA3361}" name="Actual _x000a_cost" totalsRowFunction="custom" dataDxfId="1630" totalsRowDxfId="1629">
      <totalsRowFormula>SUM(Loans182207233259[Actual 
cost])</totalsRowFormula>
    </tableColumn>
    <tableColumn id="4" xr3:uid="{43B422CC-FC69-4C10-B040-E1D1452C8134}" name="Difference" totalsRowFunction="sum" dataDxfId="1628" totalsRowDxfId="1627">
      <calculatedColumnFormula>Loans182207233259[[#This Row],[Projected 
cost]]-Loans182207233259[[#This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9" xr:uid="{C4665DCC-943D-43AF-9A26-AB5BFF028C80}" name="Transportation183208234260" displayName="Transportation183208234260" ref="A52:D60" totalsRowCount="1" headerRowDxfId="1626" dataDxfId="1624" totalsRowDxfId="1622" headerRowBorderDxfId="1625" tableBorderDxfId="1623" totalsRowBorderDxfId="1621">
  <autoFilter ref="A52:D59" xr:uid="{3791348C-6B86-4DC3-9AC7-E3294CB9F519}"/>
  <tableColumns count="4">
    <tableColumn id="1" xr3:uid="{C7E84611-7278-42CF-BB47-3C1862606AF4}" name="Category" totalsRowLabel="Subtotal" dataDxfId="1620" totalsRowDxfId="1619"/>
    <tableColumn id="2" xr3:uid="{43085CAF-FC1F-43D3-A5DE-68F87F7776C6}" name="Projected _x000a_cost" totalsRowFunction="custom" dataDxfId="1618" totalsRowDxfId="1617">
      <totalsRowFormula>SUM(Transportation183208234260[Projected 
cost])</totalsRowFormula>
    </tableColumn>
    <tableColumn id="3" xr3:uid="{B5B338E4-F55D-4EA5-A57B-F8EAF820CBF1}" name="Actual _x000a_cost" totalsRowFunction="custom" dataDxfId="1616" totalsRowDxfId="1615">
      <totalsRowFormula>SUM(Transportation183208234260[Actual 
cost])</totalsRowFormula>
    </tableColumn>
    <tableColumn id="4" xr3:uid="{5FEC86FF-B1FD-48E9-98DD-8B88AB0C1E12}" name="Difference" totalsRowFunction="sum" dataDxfId="1614" totalsRowDxfId="1613">
      <calculatedColumnFormula>Transportation183208234260[[#This Row],[Projected 
cost]]-Transportation183208234260[[#This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0" xr:uid="{CB8CFFC1-F39D-4EB6-9A4B-717508560AC2}" name="Insurance185209235261" displayName="Insurance185209235261" ref="A63:D68" totalsRowCount="1" headerRowDxfId="1612" dataDxfId="1610" totalsRowDxfId="1608" headerRowBorderDxfId="1611" tableBorderDxfId="1609" totalsRowBorderDxfId="1607">
  <autoFilter ref="A63:D67" xr:uid="{97815EBA-35E4-46C9-99FC-9A9B6F57B9D9}"/>
  <tableColumns count="4">
    <tableColumn id="1" xr3:uid="{1DA24041-5A86-4FC2-8D50-BEFE78A3CB30}" name="Category" totalsRowLabel="Subtotal" dataDxfId="1606" totalsRowDxfId="1605"/>
    <tableColumn id="2" xr3:uid="{895EAFD3-76A4-4E20-A1D5-D149E9A88BFC}" name="Projected_x000a_cost" totalsRowLabel="$0.00" dataDxfId="1604" totalsRowDxfId="1603"/>
    <tableColumn id="3" xr3:uid="{ED3E5C24-A76E-43CB-9061-D043B84815AA}" name="Actual _x000a_cost" totalsRowFunction="custom" dataDxfId="1602" totalsRowDxfId="1601">
      <totalsRowFormula>SUM(Insurance185209235261[Actual 
cost])</totalsRowFormula>
    </tableColumn>
    <tableColumn id="4" xr3:uid="{A41323B5-8FA6-4C86-9301-AA5DD7C60AD5}" name="Difference" totalsRowFunction="sum" dataDxfId="1600" totalsRowDxfId="1599">
      <calculatedColumnFormula>Insurance185209235261[[#This Row],[Projected
cost]]-Insurance185209235261[[#This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1" xr:uid="{104FB917-3DFE-41A9-9BDE-7EAAC2A49CC3}" name="Taxes187210236262" displayName="Taxes187210236262" ref="F63:I68" totalsRowCount="1" headerRowDxfId="1598" dataDxfId="1596" totalsRowDxfId="1594" headerRowBorderDxfId="1597" tableBorderDxfId="1595" totalsRowBorderDxfId="1593">
  <autoFilter ref="F63:I67" xr:uid="{41433824-9014-42A3-A455-96583DB291E2}"/>
  <tableColumns count="4">
    <tableColumn id="1" xr3:uid="{89B2B3C8-D493-430D-A847-636134F88E9E}" name="Category" totalsRowLabel="Subtotal" dataDxfId="1592" totalsRowDxfId="1591"/>
    <tableColumn id="2" xr3:uid="{571E1FA3-9B9E-4AF5-8851-230412CD2E78}" name="Projected _x000a_cost" totalsRowFunction="custom" dataDxfId="1590" totalsRowDxfId="1589">
      <totalsRowFormula>SUM(Taxes187210236262[Projected 
cost])</totalsRowFormula>
    </tableColumn>
    <tableColumn id="3" xr3:uid="{8AE09AE8-6591-44E7-B39F-A1660B46B48A}" name="Actual _x000a_cost" totalsRowFunction="custom" dataDxfId="1588" totalsRowDxfId="1587">
      <totalsRowFormula>SUM(Taxes187210236262[Actual 
cost])</totalsRowFormula>
    </tableColumn>
    <tableColumn id="4" xr3:uid="{23556C00-DBEA-48A1-80DD-9C1C9FBE9CC1}" name="Difference" totalsRowFunction="sum" dataDxfId="1586" totalsRowDxfId="1585">
      <calculatedColumnFormula>Taxes187210236262[[#This Row],[Projected 
cost]]-Taxes187210236262[[#This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2" xr:uid="{349FC81B-FA22-4CFA-B450-6F7932411D93}" name="Savings189211237263" displayName="Savings189211237263" ref="F71:I75" totalsRowCount="1" headerRowDxfId="1584" dataDxfId="1582" totalsRowDxfId="1581" headerRowBorderDxfId="1583" totalsRowBorderDxfId="1580">
  <autoFilter ref="F71:I74" xr:uid="{E1977D02-FD4F-4559-BAF7-ADB98963CB0F}"/>
  <tableColumns count="4">
    <tableColumn id="1" xr3:uid="{CCD89151-A452-4B02-8202-B09E393326B3}" name="Category" totalsRowLabel="Subtotal" dataDxfId="1579" totalsRowDxfId="1578"/>
    <tableColumn id="2" xr3:uid="{8AC8D40D-275F-4C58-BAB8-FCDCD69C4638}" name="Projected _x000a_cost" totalsRowFunction="custom" dataDxfId="1577" totalsRowDxfId="1576">
      <totalsRowFormula>SUM(Savings189211237263[Projected 
cost])</totalsRowFormula>
    </tableColumn>
    <tableColumn id="3" xr3:uid="{A24F5E3D-AFF7-4314-BEF7-2325399F4640}" name="Actual _x000a_cost" totalsRowFunction="custom" dataDxfId="1575" totalsRowDxfId="1574">
      <totalsRowFormula>SUM(Savings189211237263[Actual 
cost])</totalsRowFormula>
    </tableColumn>
    <tableColumn id="4" xr3:uid="{112A3357-CDDD-43CE-B5EF-195F1D5041F5}" name="Difference" totalsRowFunction="sum" dataDxfId="1573" totalsRowDxfId="1572">
      <calculatedColumnFormula>Savings189211237263[[#This Row],[Projected 
cost]]-Savings189211237263[[#This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3" xr:uid="{5A34BE8D-03CC-4D44-90FA-316F05F09BD7}" name="Food191212238264" displayName="Food191212238264" ref="A71:D75" totalsRowCount="1" headerRowDxfId="1571" dataDxfId="1569" totalsRowDxfId="1567" headerRowBorderDxfId="1570" tableBorderDxfId="1568" totalsRowBorderDxfId="1566">
  <autoFilter ref="A71:D74" xr:uid="{752B363C-2D82-4416-B41B-450F9541E34C}"/>
  <tableColumns count="4">
    <tableColumn id="1" xr3:uid="{C40FD8BC-0B16-4FE8-97A7-3F343D0DD4C0}" name="Category" totalsRowLabel="Subtotal" dataDxfId="1565" totalsRowDxfId="1564"/>
    <tableColumn id="2" xr3:uid="{D167D05D-0DE8-41B6-A9DE-2D90BD9824E4}" name="Projected _x000a_cost" totalsRowFunction="custom" dataDxfId="1563" totalsRowDxfId="1562">
      <totalsRowFormula>SUM(Food191212238264[Projected 
cost])</totalsRowFormula>
    </tableColumn>
    <tableColumn id="3" xr3:uid="{DF6BCC32-C0CE-4618-922A-375FB0250F7D}" name="Actual _x000a_cost" totalsRowFunction="custom" dataDxfId="1561" totalsRowDxfId="1560">
      <totalsRowFormula>SUM(Food191212238264[Actual 
cost])</totalsRowFormula>
    </tableColumn>
    <tableColumn id="4" xr3:uid="{DC02E4A1-7054-4EC8-9A8D-8BBE06477A5D}" name="Difference" totalsRowFunction="sum" dataDxfId="1559" totalsRowDxfId="1558">
      <calculatedColumnFormula>Food191212238264[[#This Row],[Projected 
cost]]-Food191212238264[[#This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4" xr:uid="{9A0C28CA-71DF-4500-8FDC-248225EA9BD8}" name="Gifts193213239265" displayName="Gifts193213239265" ref="F78:I82" totalsRowCount="1" headerRowDxfId="1557" dataDxfId="1555" totalsRowDxfId="1554" headerRowBorderDxfId="1556" totalsRowBorderDxfId="1553">
  <autoFilter ref="F78:I81" xr:uid="{14E81561-7182-48EB-877C-1D3C0D007945}"/>
  <tableColumns count="4">
    <tableColumn id="1" xr3:uid="{298D8BB7-8310-43C5-BBB0-7751A9F4F0B4}" name="Category" totalsRowLabel="Subtotal" dataDxfId="1552" totalsRowDxfId="1551"/>
    <tableColumn id="2" xr3:uid="{021D82FB-00F0-4D5E-86D4-55CC512EACB5}" name="Projected _x000a_cost" totalsRowFunction="custom" dataDxfId="1550" totalsRowDxfId="1549">
      <totalsRowFormula>SUM(Gifts193213239265[Projected 
cost])</totalsRowFormula>
    </tableColumn>
    <tableColumn id="3" xr3:uid="{97848398-D0EF-4D73-A544-78C1875DA3CF}" name="Actual _x000a_cost" totalsRowFunction="custom" dataDxfId="1548" totalsRowDxfId="1547">
      <totalsRowFormula>SUM(Gifts193213239265[Actual 
cost])</totalsRowFormula>
    </tableColumn>
    <tableColumn id="4" xr3:uid="{0F06EE7A-42E4-45C6-8026-BA1A497DD3C4}" name="Difference" totalsRowFunction="sum" dataDxfId="1546" totalsRowDxfId="1545">
      <calculatedColumnFormula>Gifts193213239265[[#This Row],[Projected 
cost]]-Gifts193213239265[[#This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5" xr:uid="{7CF49F95-BD80-48FF-8E3A-B81E21E4028E}" name="Pets195214240266" displayName="Pets195214240266" ref="A78:D84" totalsRowCount="1" headerRowDxfId="1544" dataDxfId="1542" totalsRowDxfId="1541" headerRowBorderDxfId="1543" totalsRowBorderDxfId="1540">
  <autoFilter ref="A78:D83" xr:uid="{BB8FB9C3-90C8-4A9B-94EA-89218C8670C2}"/>
  <tableColumns count="4">
    <tableColumn id="1" xr3:uid="{2AB2D7A7-15C3-483E-BF3F-2668FEA7DC0A}" name="Category" totalsRowLabel="Subtotal" dataDxfId="1539" totalsRowDxfId="1538"/>
    <tableColumn id="2" xr3:uid="{BCD5B8CB-5B0E-4159-90CE-F02BD4E56A61}" name="Projected _x000a_cost" totalsRowFunction="custom" dataDxfId="1537" totalsRowDxfId="1536">
      <totalsRowFormula>SUM(Pets195214240266[Projected 
cost])</totalsRowFormula>
    </tableColumn>
    <tableColumn id="3" xr3:uid="{674C6B90-E271-45A4-ABF4-4B26713AFBF6}" name="Actual _x000a_cost" totalsRowFunction="custom" dataDxfId="1535" totalsRowDxfId="1534">
      <totalsRowFormula>SUM(Pets195214240266[Actual 
cost])</totalsRowFormula>
    </tableColumn>
    <tableColumn id="4" xr3:uid="{4503AA69-8F17-46C8-831C-2114D403E36B}" name="Difference" totalsRowFunction="sum" dataDxfId="1533" totalsRowDxfId="1532">
      <calculatedColumnFormula>Pets195214240266[[#This Row],[Projected 
cost]]-Pets195214240266[[#This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6" xr:uid="{3F97A343-D02E-497E-B9F4-1151FB8FF6B2}" name="PersonalCare197215241267" displayName="PersonalCare197215241267" ref="A87:D95" totalsRowCount="1" headerRowDxfId="1531" dataDxfId="1529" totalsRowDxfId="1528" headerRowBorderDxfId="1530" totalsRowBorderDxfId="1527">
  <autoFilter ref="A87:D94" xr:uid="{2CBFA43E-52CB-48F8-AA14-1E41A126831F}"/>
  <tableColumns count="4">
    <tableColumn id="1" xr3:uid="{9CF958A5-618E-4482-BA02-BDC8A3FB7607}" name="Category" totalsRowLabel="Subtotal" dataDxfId="1526" totalsRowDxfId="1525"/>
    <tableColumn id="2" xr3:uid="{7FA44A9F-1F93-4EF6-8333-2AB213043FA3}" name="Projected _x000a_cost" totalsRowFunction="custom" dataDxfId="1524" totalsRowDxfId="1523">
      <totalsRowFormula>SUM(PersonalCare197215241267[Projected 
cost])</totalsRowFormula>
    </tableColumn>
    <tableColumn id="3" xr3:uid="{1827B568-0864-4A36-ACC7-1CD3EF93A983}" name="Actual _x000a_cost" totalsRowFunction="custom" dataDxfId="1522" totalsRowDxfId="1521">
      <totalsRowFormula>SUM(PersonalCare197215241267[Actual 
cost])</totalsRowFormula>
    </tableColumn>
    <tableColumn id="4" xr3:uid="{538C374B-CB95-40FC-BB38-63AE8B52882A}" name="Difference" totalsRowFunction="sum" dataDxfId="1520" totalsRowDxfId="1519">
      <calculatedColumnFormula>PersonalCare197215241267[[#This Row],[Projected 
cost]]-PersonalCare197215241267[[#This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7" xr:uid="{D283B0E1-A02D-437B-9B7D-8F6D28E14EC0}" name="Legal198216242268" displayName="Legal198216242268" ref="F87:I92" totalsRowCount="1" headerRowDxfId="1518" dataDxfId="1516" totalsRowDxfId="1515" headerRowBorderDxfId="1517" totalsRowBorderDxfId="1514">
  <autoFilter ref="F87:I91" xr:uid="{CE9CF11C-4460-46D8-B94F-D7DB1A431F85}"/>
  <tableColumns count="4">
    <tableColumn id="1" xr3:uid="{D927BB08-B973-436C-981C-B721DF21E385}" name="Category" totalsRowLabel="Subtotal" dataDxfId="1513" totalsRowDxfId="1512"/>
    <tableColumn id="2" xr3:uid="{C84A6198-40D0-4C9C-9160-750AC8B3E77E}" name="Projected _x000a_cost" totalsRowFunction="custom" dataDxfId="1511" totalsRowDxfId="1510">
      <totalsRowFormula>SUM(Legal198216242268[Projected 
cost])</totalsRowFormula>
    </tableColumn>
    <tableColumn id="3" xr3:uid="{22BEAD39-7E0A-405C-9BE0-2FF6C492C98E}" name="Actual _x000a_cost" totalsRowFunction="custom" dataDxfId="1509" totalsRowDxfId="1508">
      <totalsRowFormula>SUM(Legal198216242268[Actual 
cost])</totalsRowFormula>
    </tableColumn>
    <tableColumn id="4" xr3:uid="{EC2B3D23-827F-413B-9096-4A810429581A}" name="Difference" totalsRowFunction="sum" dataDxfId="1507" totalsRowDxfId="1506">
      <calculatedColumnFormula>Legal198216242268[[#This Row],[Projected 
cost]]-Legal198216242268[[#This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8" xr:uid="{33C989A4-9FB0-4F48-8094-64DF8A56A44D}" name="Table176199217243269" displayName="Table176199217243269" ref="J52:J63" totalsRowShown="0" headerRowDxfId="1505" dataDxfId="1504">
  <autoFilter ref="J52:J63" xr:uid="{84D7483B-0AA3-443D-B077-CB614166CB8E}"/>
  <tableColumns count="1">
    <tableColumn id="1" xr3:uid="{0CB315A2-9E77-4B7B-A8F8-A3675C1367FC}" name="Total Amount Owed" dataDxfId="1503"/>
  </tableColumns>
  <tableStyleInfo name="Address Book" showFirstColumn="0" showLastColumn="0" showRowStripes="1" showColumnStripes="0"/>
</table>
</file>

<file path=xl/tables/table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3" xr:uid="{6DD843D1-3011-4B9B-AE0E-F4CEE947B2D0}" name="Table1516116270274" displayName="Table1516116270274" ref="C3:E40" totalsRowShown="0" headerRowCellStyle="Currency" dataCellStyle="Currency">
  <autoFilter ref="C3:E40" xr:uid="{A2C35252-D38E-4A14-BF19-C14532D2BA19}"/>
  <tableColumns count="3">
    <tableColumn id="1" xr3:uid="{EB67212A-88A7-41EA-8AB0-76B669F19B58}" name="Credit Card Balances " dataCellStyle="Currency">
      <calculatedColumnFormula>#REF!</calculatedColumnFormula>
    </tableColumn>
    <tableColumn id="2" xr3:uid="{1C556F33-5279-4CC1-A961-56433E9111A4}" name="Budgeted Amount" dataCellStyle="Currency"/>
    <tableColumn id="3" xr3:uid="{346B9DA7-96B9-490E-9E91-985D40936B9A}" name="Interest" dataDxfId="1502" dataCellStyle="Percent"/>
  </tableColumns>
  <tableStyleInfo name="TableStyleMedium2" showFirstColumn="0" showLastColumn="0" showRowStripes="1" showColumnStripes="0"/>
</table>
</file>

<file path=xl/tables/table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4" xr:uid="{CA82FF11-2777-47E0-AC0D-0D6D58A2701A}" name="Table17218271275" displayName="Table17218271275" ref="B3:B40" totalsRowShown="0" headerRowCellStyle="Currency" dataCellStyle="Currency">
  <autoFilter ref="B3:B40" xr:uid="{84E0FCCA-604E-4CFC-A3ED-829019A207A1}"/>
  <tableColumns count="1">
    <tableColumn id="1" xr3:uid="{6DB67BEF-4376-462E-B515-8B178B5D42EF}" name="Credit Card " dataCellStyle="Currency"/>
  </tableColumns>
  <tableStyleInfo name="TableStyleMedium2" showFirstColumn="0" showLastColumn="0" showRowStripes="1" showColumnStripes="0"/>
</table>
</file>

<file path=xl/tables/table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5" xr:uid="{1D971DB0-F311-4CB9-860C-6FC4155CB90F}" name="Table175200202174272276" displayName="Table175200202174272276" ref="B44:G65" totalsRowShown="0">
  <autoFilter ref="B44:G65" xr:uid="{22F8BEB6-9F00-4EC8-9EC9-8638209FE1D0}"/>
  <tableColumns count="6">
    <tableColumn id="1" xr3:uid="{BBF15A41-F0BD-4123-A542-0BB6C1FB3718}" name="Lender"/>
    <tableColumn id="6" xr3:uid="{7A2D3434-A8BD-4424-B44F-E5977074C19C}" name="Loan Type"/>
    <tableColumn id="5" xr3:uid="{9B126238-92C5-4C65-9C08-E844BF94E993}" name="Loan Amount" dataCellStyle="Currency"/>
    <tableColumn id="2" xr3:uid="{1DA5167F-E4B3-43B9-A96A-CB9B28A3563D}" name="Interest"/>
    <tableColumn id="3" xr3:uid="{FED8FCD1-B400-4246-9016-E4FA9E073BA7}" name="Budgeted Amount" dataCellStyle="Currency"/>
    <tableColumn id="4" xr3:uid="{5493FA1B-FA66-41A3-8110-B1969DBD2029}" name="Link "/>
  </tableColumns>
  <tableStyleInfo name="TableStyleMedium2" showFirstColumn="0" showLastColumn="0" showRowStripes="1" showColumnStripes="0"/>
</table>
</file>

<file path=xl/tables/table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6" xr:uid="{E5CFAAF1-E109-4E27-9EFE-B3E4326F5A64}" name="Table177273277" displayName="Table177273277" ref="F3:F41" totalsRowShown="0">
  <autoFilter ref="F3:F41" xr:uid="{521A51DA-26B2-4803-931E-53A3500E395A}"/>
  <tableColumns count="1">
    <tableColumn id="1" xr3:uid="{591EC7E7-2584-4A58-AC0A-B0474025CA3C}" name="Links"/>
  </tableColumns>
  <tableStyleInfo name="TableStyleMedium2" showFirstColumn="0" showLastColumn="0" showRowStripes="1" showColumnStripes="0"/>
</table>
</file>

<file path=xl/tables/table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4" xr:uid="{37F6FBC1-5EB7-429C-8C8A-7C8886B6B48C}" name="Housing179205" displayName="Housing179205" ref="A38:D49" totalsRowCount="1" headerRowDxfId="1501" dataDxfId="1499" totalsRowDxfId="1497" headerRowBorderDxfId="1500" tableBorderDxfId="1498" totalsRowBorderDxfId="1496">
  <autoFilter ref="A38:D48" xr:uid="{EC273E32-6E66-412D-9274-02C7232B97EF}"/>
  <tableColumns count="4">
    <tableColumn id="1" xr3:uid="{21FE346D-94E2-47B7-A899-0AF42C6F43A1}" name="Category" totalsRowLabel="Subtotal" dataDxfId="1495" totalsRowDxfId="1494"/>
    <tableColumn id="2" xr3:uid="{DB801A6D-F3DE-4AC3-A48F-105B0FDAAF8C}" name="Projected_x000a_cost" totalsRowFunction="custom" dataDxfId="1493" totalsRowDxfId="1492">
      <totalsRowFormula>SUM(Housing179205[Projected
cost])</totalsRowFormula>
    </tableColumn>
    <tableColumn id="3" xr3:uid="{58A2610D-0C1D-45CF-8F02-8F1F3996FB5A}" name="Actual _x000a_cost" totalsRowFunction="custom" dataDxfId="1491" totalsRowDxfId="1490">
      <totalsRowFormula>SUM(Housing179205[Actual 
cost])</totalsRowFormula>
    </tableColumn>
    <tableColumn id="4" xr3:uid="{D6114B26-97E5-4FDC-BBF8-156107C1E70D}" name="Difference" totalsRowFunction="sum" dataDxfId="1489" totalsRowDxfId="1488"/>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5" xr:uid="{0F2DACFB-B2A6-4646-85B0-42CE2F78DEB0}" name="Entertainment180206" displayName="Entertainment180206" ref="F38:I48" totalsRowCount="1" headerRowDxfId="1487" dataDxfId="1485" totalsRowDxfId="1483" headerRowBorderDxfId="1486" tableBorderDxfId="1484" totalsRowBorderDxfId="1482" headerRowCellStyle="Normal">
  <autoFilter ref="F38:I47" xr:uid="{ABCD7A91-8B8E-4420-BB8E-404C23881506}"/>
  <tableColumns count="4">
    <tableColumn id="1" xr3:uid="{FD0F2AE1-7A5E-4607-8A9E-18E6864C719D}" name="Category" totalsRowLabel="Subtotal" dataDxfId="1481" totalsRowDxfId="1480"/>
    <tableColumn id="2" xr3:uid="{BACF60BF-561B-4881-8629-18433B0C37FB}" name="Projected _x000a_cost" totalsRowFunction="custom" dataDxfId="1479" totalsRowDxfId="1478">
      <totalsRowFormula>SUM(Entertainment180206[Projected 
cost])</totalsRowFormula>
    </tableColumn>
    <tableColumn id="3" xr3:uid="{702CA275-0518-4278-A947-4BF3B5C1AEFA}" name="Actual _x000a_cost" totalsRowFunction="custom" dataDxfId="1477" totalsRowDxfId="1476">
      <totalsRowFormula>SUM(Entertainment180206[Actual 
cost])</totalsRowFormula>
    </tableColumn>
    <tableColumn id="4" xr3:uid="{DF925EEF-7721-43A5-8B5D-B34DE9C2022C}" name="Difference" totalsRowFunction="sum" dataDxfId="1475" totalsRowDxfId="1474">
      <calculatedColumnFormula>Entertainment180206[[#This Row],[Projected 
cost]]-Entertainment180206[[#This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6" xr:uid="{A80F1D7E-EA90-4850-B420-A8A3A2CED86A}" name="Loans182207" displayName="Loans182207" ref="F52:I59" totalsRowCount="1" headerRowDxfId="1473" dataDxfId="1471" totalsRowDxfId="1469" headerRowBorderDxfId="1472" tableBorderDxfId="1470" totalsRowBorderDxfId="1468">
  <autoFilter ref="F52:I58" xr:uid="{46FC0980-1C10-4EC9-897C-D19A1567FFB4}"/>
  <tableColumns count="4">
    <tableColumn id="1" xr3:uid="{F1F0F0DB-B50D-493E-B243-0484534F9817}" name="Category" totalsRowLabel="Subtotal" dataDxfId="1467" totalsRowDxfId="1466"/>
    <tableColumn id="2" xr3:uid="{3D22F9EB-DDB3-4EAF-A488-262AEC31930F}" name="Projected _x000a_cost" totalsRowFunction="custom" dataDxfId="1465" totalsRowDxfId="1464">
      <totalsRowFormula>SUM(Loans182207[Projected 
cost])</totalsRowFormula>
    </tableColumn>
    <tableColumn id="3" xr3:uid="{5FA7C205-2F7A-45D0-8EE1-B33848CA32F6}" name="Actual _x000a_cost" totalsRowFunction="custom" dataDxfId="1463" totalsRowDxfId="1462">
      <totalsRowFormula>SUM(Loans182207[Actual 
cost])</totalsRowFormula>
    </tableColumn>
    <tableColumn id="4" xr3:uid="{7E47139E-86DA-41CB-A65A-422C3602180E}" name="Difference" totalsRowFunction="sum" dataDxfId="1461" totalsRowDxfId="1460">
      <calculatedColumnFormula>Loans182207[[#This Row],[Projected 
cost]]-Loans182207[[#This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7" xr:uid="{BD1D3BA8-F800-49AE-8A11-EFFB8581CFC9}" name="Transportation183208" displayName="Transportation183208" ref="A52:D60" totalsRowCount="1" headerRowDxfId="1459" dataDxfId="1457" totalsRowDxfId="1455" headerRowBorderDxfId="1458" tableBorderDxfId="1456" totalsRowBorderDxfId="1454">
  <autoFilter ref="A52:D59" xr:uid="{3791348C-6B86-4DC3-9AC7-E3294CB9F519}"/>
  <tableColumns count="4">
    <tableColumn id="1" xr3:uid="{222A914E-7652-4CAD-A64B-94B36B372FEB}" name="Category" totalsRowLabel="Subtotal" dataDxfId="1453" totalsRowDxfId="1452"/>
    <tableColumn id="2" xr3:uid="{052F873C-E685-41BE-988C-4FC709AD0D7E}" name="Projected _x000a_cost" totalsRowFunction="custom" dataDxfId="1451" totalsRowDxfId="1450">
      <totalsRowFormula>SUM(Transportation183208[Projected 
cost])</totalsRowFormula>
    </tableColumn>
    <tableColumn id="3" xr3:uid="{65361882-A29E-4E45-AB2A-8A1AC65FCA62}" name="Actual _x000a_cost" totalsRowFunction="custom" dataDxfId="1449" totalsRowDxfId="1448">
      <totalsRowFormula>SUM(Transportation183208[Actual 
cost])</totalsRowFormula>
    </tableColumn>
    <tableColumn id="4" xr3:uid="{744698FF-6F2B-40A6-860B-845BA9FEA192}" name="Difference" totalsRowFunction="sum" dataDxfId="1447" totalsRowDxfId="1446">
      <calculatedColumnFormula>Transportation183208[[#This Row],[Projected 
cost]]-Transportation183208[[#This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8" xr:uid="{13D5C18D-ADF3-4B82-B288-1FA410AF9A42}" name="Insurance185209" displayName="Insurance185209" ref="A63:D68" totalsRowCount="1" headerRowDxfId="1445" dataDxfId="1443" totalsRowDxfId="1441" headerRowBorderDxfId="1444" tableBorderDxfId="1442" totalsRowBorderDxfId="1440">
  <autoFilter ref="A63:D67" xr:uid="{97815EBA-35E4-46C9-99FC-9A9B6F57B9D9}"/>
  <tableColumns count="4">
    <tableColumn id="1" xr3:uid="{AE4AFE18-1FA8-47E7-89B3-89934EA99269}" name="Category" totalsRowLabel="Subtotal" dataDxfId="1439" totalsRowDxfId="1438"/>
    <tableColumn id="2" xr3:uid="{A45D17FD-930C-4793-8D5F-5B7AD785D569}" name="Projected_x000a_cost" totalsRowLabel="$0.00" dataDxfId="1437" totalsRowDxfId="1436"/>
    <tableColumn id="3" xr3:uid="{0DFD56CD-06A2-49D9-A3B4-906F7432B18D}" name="Actual _x000a_cost" totalsRowFunction="custom" dataDxfId="1435" totalsRowDxfId="1434">
      <totalsRowFormula>SUM(Insurance185209[Actual 
cost])</totalsRowFormula>
    </tableColumn>
    <tableColumn id="4" xr3:uid="{78A0B2FB-53FB-4595-BA79-81D80D8DE6EC}" name="Difference" totalsRowFunction="sum" dataDxfId="1433" totalsRowDxfId="1432">
      <calculatedColumnFormula>Insurance185209[[#This Row],[Projected
cost]]-Insurance185209[[#This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9" xr:uid="{0E8D690C-C371-4D87-B619-9FA2CDABD19A}" name="Taxes187210" displayName="Taxes187210" ref="F63:I68" totalsRowCount="1" headerRowDxfId="1431" dataDxfId="1429" totalsRowDxfId="1427" headerRowBorderDxfId="1430" tableBorderDxfId="1428" totalsRowBorderDxfId="1426">
  <autoFilter ref="F63:I67" xr:uid="{41433824-9014-42A3-A455-96583DB291E2}"/>
  <tableColumns count="4">
    <tableColumn id="1" xr3:uid="{45F454CC-5986-468F-AE37-74215F6CF9C1}" name="Category" totalsRowLabel="Subtotal" dataDxfId="1425" totalsRowDxfId="1424"/>
    <tableColumn id="2" xr3:uid="{7F13E743-BF5D-4065-B8AF-AAEA8FE849C4}" name="Projected _x000a_cost" totalsRowFunction="custom" dataDxfId="1423" totalsRowDxfId="1422">
      <totalsRowFormula>SUM(Taxes187210[Projected 
cost])</totalsRowFormula>
    </tableColumn>
    <tableColumn id="3" xr3:uid="{B68C72BE-DD22-4DA7-B75B-4D08A04097A1}" name="Actual _x000a_cost" totalsRowFunction="custom" dataDxfId="1421" totalsRowDxfId="1420">
      <totalsRowFormula>SUM(Taxes187210[Actual 
cost])</totalsRowFormula>
    </tableColumn>
    <tableColumn id="4" xr3:uid="{5C505BB1-E623-488C-B633-2A3F640FC6B7}" name="Difference" totalsRowFunction="sum" dataDxfId="1419" totalsRowDxfId="1418">
      <calculatedColumnFormula>Taxes187210[[#This Row],[Projected 
cost]]-Taxes187210[[#This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0" xr:uid="{8F45986C-F6E6-468C-9581-C89E1CD44484}" name="Savings189211" displayName="Savings189211" ref="F71:I75" totalsRowCount="1" headerRowDxfId="1417" dataDxfId="1415" totalsRowDxfId="1414" headerRowBorderDxfId="1416" totalsRowBorderDxfId="1413">
  <autoFilter ref="F71:I74" xr:uid="{E1977D02-FD4F-4559-BAF7-ADB98963CB0F}"/>
  <tableColumns count="4">
    <tableColumn id="1" xr3:uid="{6E961B12-35CD-4B02-91E2-8E2169BA733A}" name="Category" totalsRowLabel="Subtotal" dataDxfId="1412" totalsRowDxfId="1411"/>
    <tableColumn id="2" xr3:uid="{DD13F7E8-5546-45A9-869B-CAE0C39E026D}" name="Projected _x000a_cost" totalsRowFunction="custom" dataDxfId="1410" totalsRowDxfId="1409">
      <totalsRowFormula>SUM(Savings189211[Projected 
cost])</totalsRowFormula>
    </tableColumn>
    <tableColumn id="3" xr3:uid="{B8557673-0AA7-48A3-9B72-53CC3EDDF72B}" name="Actual _x000a_cost" totalsRowFunction="custom" dataDxfId="1408" totalsRowDxfId="1407">
      <totalsRowFormula>SUM(Savings189211[Actual 
cost])</totalsRowFormula>
    </tableColumn>
    <tableColumn id="4" xr3:uid="{B70AAD56-0E29-4C1D-A67C-A953D67F1CEB}" name="Difference" totalsRowFunction="sum" dataDxfId="1406" totalsRowDxfId="1405">
      <calculatedColumnFormula>Savings189211[[#This Row],[Projected 
cost]]-Savings189211[[#This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1" xr:uid="{65D90590-A93F-4090-B80C-46C5CE920E2F}" name="Food191212" displayName="Food191212" ref="A71:D75" totalsRowCount="1" headerRowDxfId="1404" dataDxfId="1402" totalsRowDxfId="1400" headerRowBorderDxfId="1403" tableBorderDxfId="1401" totalsRowBorderDxfId="1399">
  <autoFilter ref="A71:D74" xr:uid="{752B363C-2D82-4416-B41B-450F9541E34C}"/>
  <tableColumns count="4">
    <tableColumn id="1" xr3:uid="{8662E678-C52F-461C-9E93-541C15909EC5}" name="Category" totalsRowLabel="Subtotal" dataDxfId="1398" totalsRowDxfId="1397"/>
    <tableColumn id="2" xr3:uid="{48FF4A40-4E2E-4D82-99B7-767E7A957C70}" name="Projected _x000a_cost" totalsRowFunction="custom" dataDxfId="1396" totalsRowDxfId="1395">
      <totalsRowFormula>SUM(Food191212[Projected 
cost])</totalsRowFormula>
    </tableColumn>
    <tableColumn id="3" xr3:uid="{109A8841-CECB-409A-853C-924F3DB6DDEB}" name="Actual _x000a_cost" totalsRowFunction="custom" dataDxfId="1394" totalsRowDxfId="1393">
      <totalsRowFormula>SUM(Food191212[Actual 
cost])</totalsRowFormula>
    </tableColumn>
    <tableColumn id="4" xr3:uid="{79708091-04A3-4F1E-A4CB-332F25EF61B0}" name="Difference" totalsRowFunction="sum" dataDxfId="1392" totalsRowDxfId="1391">
      <calculatedColumnFormula>Food191212[[#This Row],[Projected 
cost]]-Food191212[[#This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2" xr:uid="{03762769-A83F-47AB-A5DD-C3C39D36A409}" name="Gifts193213" displayName="Gifts193213" ref="F78:I82" totalsRowCount="1" headerRowDxfId="1390" dataDxfId="1388" totalsRowDxfId="1387" headerRowBorderDxfId="1389" totalsRowBorderDxfId="1386">
  <autoFilter ref="F78:I81" xr:uid="{14E81561-7182-48EB-877C-1D3C0D007945}"/>
  <tableColumns count="4">
    <tableColumn id="1" xr3:uid="{E8D0DAE8-7B58-4EA1-8F8C-4AF5C868ADA7}" name="Category" totalsRowLabel="Subtotal" dataDxfId="1385" totalsRowDxfId="1384"/>
    <tableColumn id="2" xr3:uid="{8E5B8E13-077E-46DE-A624-C08BD99D7DA4}" name="Projected _x000a_cost" totalsRowFunction="custom" dataDxfId="1383" totalsRowDxfId="1382">
      <totalsRowFormula>SUM(Gifts193213[Projected 
cost])</totalsRowFormula>
    </tableColumn>
    <tableColumn id="3" xr3:uid="{92D3CF3A-507C-48C2-BD25-39244620C2CC}" name="Actual _x000a_cost" totalsRowFunction="custom" dataDxfId="1381" totalsRowDxfId="1380">
      <totalsRowFormula>SUM(Gifts193213[Actual 
cost])</totalsRowFormula>
    </tableColumn>
    <tableColumn id="4" xr3:uid="{CCB63CD4-AEC4-4F25-8FCC-CAF6A630BC5D}" name="Difference" totalsRowFunction="sum" dataDxfId="1379" totalsRowDxfId="1378">
      <calculatedColumnFormula>Gifts193213[[#This Row],[Projected 
cost]]-Gifts193213[[#This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3" xr:uid="{CE86D44F-D2E6-4E82-A0C6-45BB78F77F29}" name="Pets195214" displayName="Pets195214" ref="A78:D84" totalsRowCount="1" headerRowDxfId="1377" dataDxfId="1375" totalsRowDxfId="1374" headerRowBorderDxfId="1376" totalsRowBorderDxfId="1373">
  <autoFilter ref="A78:D83" xr:uid="{BB8FB9C3-90C8-4A9B-94EA-89218C8670C2}"/>
  <tableColumns count="4">
    <tableColumn id="1" xr3:uid="{0275F04C-62D8-47DF-9BDD-BFE6D2DE01E5}" name="Category" totalsRowLabel="Subtotal" dataDxfId="1372" totalsRowDxfId="1371"/>
    <tableColumn id="2" xr3:uid="{6E3C2886-5111-4F8F-849F-94AC3B3DAA36}" name="Projected _x000a_cost" totalsRowFunction="custom" dataDxfId="1370" totalsRowDxfId="1369">
      <totalsRowFormula>SUM(Pets195214[Projected 
cost])</totalsRowFormula>
    </tableColumn>
    <tableColumn id="3" xr3:uid="{0B2E59EC-9A93-43C6-9A55-4F6E6298106C}" name="Actual _x000a_cost" totalsRowFunction="custom" dataDxfId="1368" totalsRowDxfId="1367">
      <totalsRowFormula>SUM(Pets195214[Actual 
cost])</totalsRowFormula>
    </tableColumn>
    <tableColumn id="4" xr3:uid="{5ECFBB89-E389-4A39-83F3-3456807BC172}" name="Difference" totalsRowFunction="sum" dataDxfId="1366" totalsRowDxfId="1365">
      <calculatedColumnFormula>Pets195214[[#This Row],[Projected 
cost]]-Pets195214[[#This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4" xr:uid="{CC1E2958-949B-42C5-B2AE-D80F85FEE53A}" name="PersonalCare197215" displayName="PersonalCare197215" ref="A87:D95" totalsRowCount="1" headerRowDxfId="1364" dataDxfId="1362" totalsRowDxfId="1361" headerRowBorderDxfId="1363" totalsRowBorderDxfId="1360">
  <autoFilter ref="A87:D94" xr:uid="{2CBFA43E-52CB-48F8-AA14-1E41A126831F}"/>
  <tableColumns count="4">
    <tableColumn id="1" xr3:uid="{7DB35566-9798-4899-AF12-6D07F56CDC23}" name="Category" totalsRowLabel="Subtotal" dataDxfId="1359" totalsRowDxfId="1358"/>
    <tableColumn id="2" xr3:uid="{43D29468-F90C-45F2-BB70-D1B3F05B26BC}" name="Projected _x000a_cost" totalsRowFunction="custom" dataDxfId="1357" totalsRowDxfId="1356">
      <totalsRowFormula>SUM(PersonalCare197215[Projected 
cost])</totalsRowFormula>
    </tableColumn>
    <tableColumn id="3" xr3:uid="{B823CA75-355C-4C7E-A016-C0D66196602D}" name="Actual _x000a_cost" totalsRowFunction="custom" dataDxfId="1355" totalsRowDxfId="1354">
      <totalsRowFormula>SUM(PersonalCare197215[Actual 
cost])</totalsRowFormula>
    </tableColumn>
    <tableColumn id="4" xr3:uid="{2D7BB0EA-F5A3-4D3A-BEEF-9E0ED1244C1B}" name="Difference" totalsRowFunction="sum" dataDxfId="1353" totalsRowDxfId="1352">
      <calculatedColumnFormula>PersonalCare197215[[#This Row],[Projected 
cost]]-PersonalCare197215[[#This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5" xr:uid="{22EEB614-39FB-4860-BA6C-1F091C9B6583}" name="Legal198216" displayName="Legal198216" ref="F87:I92" totalsRowCount="1" headerRowDxfId="1351" dataDxfId="1349" totalsRowDxfId="1348" headerRowBorderDxfId="1350" totalsRowBorderDxfId="1347">
  <autoFilter ref="F87:I91" xr:uid="{CE9CF11C-4460-46D8-B94F-D7DB1A431F85}"/>
  <tableColumns count="4">
    <tableColumn id="1" xr3:uid="{4307B859-3FB5-4F14-9817-F514D2113513}" name="Category" totalsRowLabel="Subtotal" dataDxfId="1346" totalsRowDxfId="1345"/>
    <tableColumn id="2" xr3:uid="{AF1DDF88-912E-493B-9CDA-273595CDA287}" name="Projected _x000a_cost" totalsRowFunction="custom" dataDxfId="1344" totalsRowDxfId="1343">
      <totalsRowFormula>SUM(Legal198216[Projected 
cost])</totalsRowFormula>
    </tableColumn>
    <tableColumn id="3" xr3:uid="{9F1D722C-B32B-4853-85FB-C6382A603127}" name="Actual _x000a_cost" totalsRowFunction="custom" dataDxfId="1342" totalsRowDxfId="1341">
      <totalsRowFormula>SUM(Legal198216[Actual 
cost])</totalsRowFormula>
    </tableColumn>
    <tableColumn id="4" xr3:uid="{B00158EE-4913-4576-AF5C-E2D367CBA116}" name="Difference" totalsRowFunction="sum" dataDxfId="1340" totalsRowDxfId="1339">
      <calculatedColumnFormula>Legal198216[[#This Row],[Projected 
cost]]-Legal198216[[#This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6" xr:uid="{9081BF5D-98B7-4656-98E8-3E7874F544DE}" name="Table176199217" displayName="Table176199217" ref="J52:J63" totalsRowShown="0" headerRowDxfId="1338" dataDxfId="1337">
  <autoFilter ref="J52:J63" xr:uid="{84D7483B-0AA3-443D-B077-CB614166CB8E}"/>
  <tableColumns count="1">
    <tableColumn id="1" xr3:uid="{F1A9979D-28BF-44D4-996C-08401017213A}" name="Total Amount Owed" dataDxfId="1336"/>
  </tableColumns>
  <tableStyleInfo name="Address Book" showFirstColumn="0" showLastColumn="0" showRowStripes="1" showColumnStripes="0"/>
</table>
</file>

<file path=xl/tables/table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7" xr:uid="{3C341C30-5F10-4303-89C8-0867FDCB1D7E}" name="Table1516116270274278" displayName="Table1516116270274278" ref="C3:E40" totalsRowShown="0" headerRowCellStyle="Currency" dataCellStyle="Currency">
  <autoFilter ref="C3:E40" xr:uid="{A2C35252-D38E-4A14-BF19-C14532D2BA19}"/>
  <tableColumns count="3">
    <tableColumn id="1" xr3:uid="{E698DBD8-4EDE-4C28-BC4E-F4F7DA988C40}" name="Credit Card Balances " dataCellStyle="Currency">
      <calculatedColumnFormula>#REF!</calculatedColumnFormula>
    </tableColumn>
    <tableColumn id="2" xr3:uid="{334B205C-A616-4E80-AE9C-125D220280D4}" name="Budgeted Amount" dataCellStyle="Currency"/>
    <tableColumn id="3" xr3:uid="{C583623A-7993-4BC2-BE27-052238349D91}" name="Interest" dataDxfId="1335" dataCellStyle="Percent"/>
  </tableColumns>
  <tableStyleInfo name="TableStyleMedium2" showFirstColumn="0" showLastColumn="0" showRowStripes="1" showColumnStripes="0"/>
</table>
</file>

<file path=xl/tables/table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8" xr:uid="{38F36905-AE17-42F9-8EAD-F6C815B9EBC1}" name="Table17218271275279" displayName="Table17218271275279" ref="B3:B40" totalsRowShown="0" headerRowCellStyle="Currency" dataCellStyle="Currency">
  <autoFilter ref="B3:B40" xr:uid="{84E0FCCA-604E-4CFC-A3ED-829019A207A1}"/>
  <tableColumns count="1">
    <tableColumn id="1" xr3:uid="{64B10027-90C7-46E8-ABF1-DFF2B5E17E35}" name="Credit Card " dataCellStyle="Currency"/>
  </tableColumns>
  <tableStyleInfo name="TableStyleMedium2" showFirstColumn="0" showLastColumn="0" showRowStripes="1" showColumnStripes="0"/>
</table>
</file>

<file path=xl/tables/table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9" xr:uid="{FDD033F7-842B-4F69-ACB1-90CBA118C0EE}" name="Table175200202174272276280" displayName="Table175200202174272276280" ref="B44:G65" totalsRowShown="0">
  <autoFilter ref="B44:G65" xr:uid="{22F8BEB6-9F00-4EC8-9EC9-8638209FE1D0}"/>
  <tableColumns count="6">
    <tableColumn id="1" xr3:uid="{2875AC52-0B9D-4704-BF76-279259B7F39C}" name="Lender"/>
    <tableColumn id="6" xr3:uid="{6FFDFDCB-DEB4-4059-8CA4-AF91D6FA8C53}" name="Loan Type"/>
    <tableColumn id="5" xr3:uid="{3E52B6F8-42CB-4A09-8C3B-ABF8160D6BEA}" name="Loan Amount" dataCellStyle="Currency"/>
    <tableColumn id="2" xr3:uid="{5FA183FC-EA31-4DD4-B7C9-777C65C45850}" name="Interest"/>
    <tableColumn id="3" xr3:uid="{D57B3CC2-FD3D-43BA-B995-EE85117FE765}" name="Budgeted Amount" dataCellStyle="Currency"/>
    <tableColumn id="4" xr3:uid="{B8546EDF-8AF0-48F7-9AB9-D035F2AA81C6}" name="Link "/>
  </tableColumns>
  <tableStyleInfo name="TableStyleMedium2" showFirstColumn="0" showLastColumn="0" showRowStripes="1" showColumnStripes="0"/>
</table>
</file>

<file path=xl/tables/table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0" xr:uid="{52277BCE-7185-47F5-B16C-B89EF53F9582}" name="Table177273277281" displayName="Table177273277281" ref="F3:F41" totalsRowShown="0">
  <autoFilter ref="F3:F41" xr:uid="{521A51DA-26B2-4803-931E-53A3500E395A}"/>
  <tableColumns count="1">
    <tableColumn id="1" xr3:uid="{52D9A957-5523-4171-B4F5-8684487A4518}" name="Links"/>
  </tableColumns>
  <tableStyleInfo name="TableStyleMedium2" showFirstColumn="0" showLastColumn="0" showRowStripes="1" showColumnStripes="0"/>
</table>
</file>

<file path=xl/tables/table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3" xr:uid="{A0AD21AC-8E23-4C54-AA0B-03333955F1A5}" name="Housing179205231244" displayName="Housing179205231244" ref="A38:D49" totalsRowCount="1" headerRowDxfId="1334" dataDxfId="1332" totalsRowDxfId="1330" headerRowBorderDxfId="1333" tableBorderDxfId="1331" totalsRowBorderDxfId="1329">
  <autoFilter ref="A38:D48" xr:uid="{EC273E32-6E66-412D-9274-02C7232B97EF}"/>
  <tableColumns count="4">
    <tableColumn id="1" xr3:uid="{0B6FF2AA-F536-4697-879E-8D47880C8FCA}" name="Category" totalsRowLabel="Subtotal" dataDxfId="1328" totalsRowDxfId="1327"/>
    <tableColumn id="2" xr3:uid="{07B6EB30-A4A1-4466-9213-29947690E57D}" name="Projected_x000a_cost" totalsRowFunction="custom" dataDxfId="1326" totalsRowDxfId="1325">
      <totalsRowFormula>SUM(Housing179205231244[Projected
cost])</totalsRowFormula>
    </tableColumn>
    <tableColumn id="3" xr3:uid="{0F0674E5-8A96-4176-993F-A55F17D4B41F}" name="Actual _x000a_cost" totalsRowFunction="custom" dataDxfId="1324" totalsRowDxfId="1323">
      <totalsRowFormula>SUM(Housing179205231244[Actual 
cost])</totalsRowFormula>
    </tableColumn>
    <tableColumn id="4" xr3:uid="{533C30F3-AD56-4E9B-80C6-9E6C7D9297D3}" name="Difference" totalsRowFunction="sum" dataDxfId="1322" totalsRowDxfId="1321"/>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4" xr:uid="{36D83EA9-4CC2-4F20-9F44-3B8ED5E96037}" name="Entertainment180206232245" displayName="Entertainment180206232245" ref="F38:I48" totalsRowCount="1" headerRowDxfId="1320" dataDxfId="1318" totalsRowDxfId="1316" headerRowBorderDxfId="1319" tableBorderDxfId="1317" totalsRowBorderDxfId="1315" headerRowCellStyle="Normal">
  <autoFilter ref="F38:I47" xr:uid="{ABCD7A91-8B8E-4420-BB8E-404C23881506}"/>
  <tableColumns count="4">
    <tableColumn id="1" xr3:uid="{99B468DC-8595-463C-B060-C860307E5D05}" name="Category" totalsRowLabel="Subtotal" dataDxfId="1314" totalsRowDxfId="1313"/>
    <tableColumn id="2" xr3:uid="{9DB722B3-6B48-49ED-9189-B6BC28F0414D}" name="Projected _x000a_cost" totalsRowFunction="custom" dataDxfId="1312" totalsRowDxfId="1311">
      <totalsRowFormula>SUM(Entertainment180206232245[Projected 
cost])</totalsRowFormula>
    </tableColumn>
    <tableColumn id="3" xr3:uid="{2C4AD271-9DF1-4693-9927-F1AA471CCE16}" name="Actual _x000a_cost" totalsRowFunction="custom" dataDxfId="1310" totalsRowDxfId="1309">
      <totalsRowFormula>SUM(Entertainment180206232245[Actual 
cost])</totalsRowFormula>
    </tableColumn>
    <tableColumn id="4" xr3:uid="{832ED517-6905-4428-B1E2-3E0EBD4A108A}" name="Difference" totalsRowFunction="sum" dataDxfId="1308" totalsRowDxfId="1307">
      <calculatedColumnFormula>Entertainment180206232245[[#This Row],[Projected 
cost]]-Entertainment180206232245[[#This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5" xr:uid="{F4BC22E8-EA33-4C7A-BA75-E79486637619}" name="Loans182207233246" displayName="Loans182207233246" ref="F52:I59" totalsRowCount="1" headerRowDxfId="1306" dataDxfId="1304" totalsRowDxfId="1302" headerRowBorderDxfId="1305" tableBorderDxfId="1303" totalsRowBorderDxfId="1301">
  <autoFilter ref="F52:I58" xr:uid="{46FC0980-1C10-4EC9-897C-D19A1567FFB4}"/>
  <tableColumns count="4">
    <tableColumn id="1" xr3:uid="{ED3438B6-0D0B-49BC-AEA2-8C54DD8545ED}" name="Category" totalsRowLabel="Subtotal" dataDxfId="1300" totalsRowDxfId="1299"/>
    <tableColumn id="2" xr3:uid="{BB9B5E71-0C08-4558-B02D-30BF40C7A397}" name="Projected _x000a_cost" totalsRowFunction="custom" dataDxfId="1298" totalsRowDxfId="1297">
      <totalsRowFormula>SUM(Loans182207233246[Projected 
cost])</totalsRowFormula>
    </tableColumn>
    <tableColumn id="3" xr3:uid="{8646FD51-51E9-4EF0-83A7-5158A825638D}" name="Actual _x000a_cost" totalsRowFunction="custom" dataDxfId="1296" totalsRowDxfId="1295">
      <totalsRowFormula>SUM(Loans182207233246[Actual 
cost])</totalsRowFormula>
    </tableColumn>
    <tableColumn id="4" xr3:uid="{4BEEF83F-19A4-4735-BFC2-E6F10A1DAC64}" name="Difference" totalsRowFunction="sum" dataDxfId="1294" totalsRowDxfId="1293">
      <calculatedColumnFormula>Loans182207233246[[#This Row],[Projected 
cost]]-Loans182207233246[[#This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6" xr:uid="{D0CEE80E-822F-4A81-AB2A-0F9AC5470763}" name="Transportation183208234247" displayName="Transportation183208234247" ref="A52:D60" totalsRowCount="1" headerRowDxfId="1292" dataDxfId="1290" totalsRowDxfId="1288" headerRowBorderDxfId="1291" tableBorderDxfId="1289" totalsRowBorderDxfId="1287">
  <autoFilter ref="A52:D59" xr:uid="{3791348C-6B86-4DC3-9AC7-E3294CB9F519}"/>
  <tableColumns count="4">
    <tableColumn id="1" xr3:uid="{DB28D4A0-AFBD-4920-9230-E3935BACB0B8}" name="Category" totalsRowLabel="Subtotal" dataDxfId="1286" totalsRowDxfId="1285"/>
    <tableColumn id="2" xr3:uid="{5FEE5CEF-D887-46AD-93AF-E42B6D0FBD6F}" name="Projected _x000a_cost" totalsRowFunction="custom" dataDxfId="1284" totalsRowDxfId="1283">
      <totalsRowFormula>SUM(Transportation183208234247[Projected 
cost])</totalsRowFormula>
    </tableColumn>
    <tableColumn id="3" xr3:uid="{178183D6-98ED-4664-A842-E92E32109D7E}" name="Actual _x000a_cost" totalsRowFunction="custom" dataDxfId="1282" totalsRowDxfId="1281">
      <totalsRowFormula>SUM(Transportation183208234247[Actual 
cost])</totalsRowFormula>
    </tableColumn>
    <tableColumn id="4" xr3:uid="{9AC08457-9E5E-49D9-8F5C-713CA611E311}" name="Difference" totalsRowFunction="sum" dataDxfId="1280" totalsRowDxfId="1279">
      <calculatedColumnFormula>Transportation183208234247[[#This Row],[Projected 
cost]]-Transportation183208234247[[#This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7" xr:uid="{8FB3DA74-6894-40F9-8BF6-0720E56E7BF3}" name="Insurance185209235248" displayName="Insurance185209235248" ref="A63:D68" totalsRowCount="1" headerRowDxfId="1278" dataDxfId="1276" totalsRowDxfId="1274" headerRowBorderDxfId="1277" tableBorderDxfId="1275" totalsRowBorderDxfId="1273">
  <autoFilter ref="A63:D67" xr:uid="{97815EBA-35E4-46C9-99FC-9A9B6F57B9D9}"/>
  <tableColumns count="4">
    <tableColumn id="1" xr3:uid="{59312D69-DDAF-4E78-A242-6DA3E3FCE564}" name="Category" totalsRowLabel="Subtotal" dataDxfId="1272" totalsRowDxfId="1271"/>
    <tableColumn id="2" xr3:uid="{9EE2A8BF-4FE3-4BDE-91DF-FF4B9FAF4CB9}" name="Projected_x000a_cost" totalsRowLabel="$0.00" dataDxfId="1270" totalsRowDxfId="1269"/>
    <tableColumn id="3" xr3:uid="{1EF0549C-7D2D-4A2F-AA16-592A7E335E3B}" name="Actual _x000a_cost" totalsRowFunction="custom" dataDxfId="1268" totalsRowDxfId="1267">
      <totalsRowFormula>SUM(Insurance185209235248[Actual 
cost])</totalsRowFormula>
    </tableColumn>
    <tableColumn id="4" xr3:uid="{97CC22BF-4BF1-430D-9F2B-DCD4935C92E8}" name="Difference" totalsRowFunction="sum" dataDxfId="1266" totalsRowDxfId="1265">
      <calculatedColumnFormula>Insurance185209235248[[#This Row],[Projected
cost]]-Insurance185209235248[[#This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8" xr:uid="{E9014A7A-92A4-4F14-845D-F8B61FA516C6}" name="Taxes187210236249" displayName="Taxes187210236249" ref="F63:I68" totalsRowCount="1" headerRowDxfId="1264" dataDxfId="1262" totalsRowDxfId="1260" headerRowBorderDxfId="1263" tableBorderDxfId="1261" totalsRowBorderDxfId="1259">
  <autoFilter ref="F63:I67" xr:uid="{41433824-9014-42A3-A455-96583DB291E2}"/>
  <tableColumns count="4">
    <tableColumn id="1" xr3:uid="{A72C7F9D-F62E-4254-BDBD-5BA319F33991}" name="Category" totalsRowLabel="Subtotal" dataDxfId="1258" totalsRowDxfId="1257"/>
    <tableColumn id="2" xr3:uid="{2DADBD19-9FC6-4ADC-A05B-458A627354FB}" name="Projected _x000a_cost" totalsRowFunction="custom" dataDxfId="1256" totalsRowDxfId="1255">
      <totalsRowFormula>SUM(Taxes187210236249[Projected 
cost])</totalsRowFormula>
    </tableColumn>
    <tableColumn id="3" xr3:uid="{2D012EAD-3FED-4F94-AF84-BFED83E3AE6E}" name="Actual _x000a_cost" totalsRowFunction="custom" dataDxfId="1254" totalsRowDxfId="1253">
      <totalsRowFormula>SUM(Taxes187210236249[Actual 
cost])</totalsRowFormula>
    </tableColumn>
    <tableColumn id="4" xr3:uid="{7B6D0914-E264-4CA2-B55D-159475D14FBD}" name="Difference" totalsRowFunction="sum" dataDxfId="1252" totalsRowDxfId="1251">
      <calculatedColumnFormula>Taxes187210236249[[#This Row],[Projected 
cost]]-Taxes187210236249[[#This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9" xr:uid="{1F508F88-A8AE-4A70-A203-FA8743FF78D2}" name="Savings189211237250" displayName="Savings189211237250" ref="F71:I75" totalsRowCount="1" headerRowDxfId="1250" dataDxfId="1248" totalsRowDxfId="1247" headerRowBorderDxfId="1249" totalsRowBorderDxfId="1246">
  <autoFilter ref="F71:I74" xr:uid="{E1977D02-FD4F-4559-BAF7-ADB98963CB0F}"/>
  <tableColumns count="4">
    <tableColumn id="1" xr3:uid="{6C3CD5D9-35F0-4B9B-985C-DCAE316D984B}" name="Category" totalsRowLabel="Subtotal" dataDxfId="1245" totalsRowDxfId="1244"/>
    <tableColumn id="2" xr3:uid="{C6074DD2-E053-4412-9A01-104AECE1DE16}" name="Projected _x000a_cost" totalsRowFunction="custom" dataDxfId="1243" totalsRowDxfId="1242">
      <totalsRowFormula>SUM(Savings189211237250[Projected 
cost])</totalsRowFormula>
    </tableColumn>
    <tableColumn id="3" xr3:uid="{EFAED1B9-4636-4AAB-BB07-46EF45CE79A6}" name="Actual _x000a_cost" totalsRowFunction="custom" dataDxfId="1241" totalsRowDxfId="1240">
      <totalsRowFormula>SUM(Savings189211237250[Actual 
cost])</totalsRowFormula>
    </tableColumn>
    <tableColumn id="4" xr3:uid="{035CBAE3-2DCB-4FE1-AC86-72F7410F2ABA}" name="Difference" totalsRowFunction="sum" dataDxfId="1239" totalsRowDxfId="1238">
      <calculatedColumnFormula>Savings189211237250[[#This Row],[Projected 
cost]]-Savings189211237250[[#This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0" xr:uid="{88FC0180-5BE8-464E-8F4F-577D978D2D5E}" name="Food191212238251" displayName="Food191212238251" ref="A71:D75" totalsRowCount="1" headerRowDxfId="1237" dataDxfId="1235" totalsRowDxfId="1233" headerRowBorderDxfId="1236" tableBorderDxfId="1234" totalsRowBorderDxfId="1232">
  <autoFilter ref="A71:D74" xr:uid="{752B363C-2D82-4416-B41B-450F9541E34C}"/>
  <tableColumns count="4">
    <tableColumn id="1" xr3:uid="{6DCC591D-E477-4E05-B350-0E2364E58547}" name="Category" totalsRowLabel="Subtotal" dataDxfId="1231" totalsRowDxfId="1230"/>
    <tableColumn id="2" xr3:uid="{5FA55F57-1ACE-4FBB-BCD0-46E48505B08E}" name="Projected _x000a_cost" totalsRowFunction="custom" dataDxfId="1229" totalsRowDxfId="1228">
      <totalsRowFormula>SUM(Food191212238251[Projected 
cost])</totalsRowFormula>
    </tableColumn>
    <tableColumn id="3" xr3:uid="{52D3B72F-3241-4EBC-997B-E7DB2A52CCCA}" name="Actual _x000a_cost" totalsRowFunction="custom" dataDxfId="1227" totalsRowDxfId="1226">
      <totalsRowFormula>SUM(Food191212238251[Actual 
cost])</totalsRowFormula>
    </tableColumn>
    <tableColumn id="4" xr3:uid="{0F5B2237-AA63-41C9-9448-C9C737939642}" name="Difference" totalsRowFunction="sum" dataDxfId="1225" totalsRowDxfId="1224">
      <calculatedColumnFormula>Food191212238251[[#This Row],[Projected 
cost]]-Food191212238251[[#This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1" xr:uid="{B50378BD-4288-45A0-BA47-17EBE6BC4A4D}" name="Gifts193213239252" displayName="Gifts193213239252" ref="F78:I82" totalsRowCount="1" headerRowDxfId="1223" dataDxfId="1221" totalsRowDxfId="1220" headerRowBorderDxfId="1222" totalsRowBorderDxfId="1219">
  <autoFilter ref="F78:I81" xr:uid="{14E81561-7182-48EB-877C-1D3C0D007945}"/>
  <tableColumns count="4">
    <tableColumn id="1" xr3:uid="{B23EAB40-799A-46B0-89B0-5A9E43FFB9CB}" name="Category" totalsRowLabel="Subtotal" dataDxfId="1218" totalsRowDxfId="1217"/>
    <tableColumn id="2" xr3:uid="{1F5948A0-49CD-4D0A-942D-2CBBFB87C357}" name="Projected _x000a_cost" totalsRowFunction="custom" dataDxfId="1216" totalsRowDxfId="1215">
      <totalsRowFormula>SUM(Gifts193213239252[Projected 
cost])</totalsRowFormula>
    </tableColumn>
    <tableColumn id="3" xr3:uid="{93AFFAC8-B268-458C-AA13-A7CBE1814631}" name="Actual _x000a_cost" totalsRowFunction="custom" dataDxfId="1214" totalsRowDxfId="1213">
      <totalsRowFormula>SUM(Gifts193213239252[Actual 
cost])</totalsRowFormula>
    </tableColumn>
    <tableColumn id="4" xr3:uid="{8880DF6C-9D6C-4726-8DB0-62909B9496E2}" name="Difference" totalsRowFunction="sum" dataDxfId="1212" totalsRowDxfId="1211">
      <calculatedColumnFormula>Gifts193213239252[[#This Row],[Projected 
cost]]-Gifts193213239252[[#This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2" xr:uid="{EB1E964E-9633-4A7C-B4E5-E0FE365F9014}" name="Pets195214240253" displayName="Pets195214240253" ref="A78:D84" totalsRowCount="1" headerRowDxfId="1210" dataDxfId="1208" totalsRowDxfId="1207" headerRowBorderDxfId="1209" totalsRowBorderDxfId="1206">
  <autoFilter ref="A78:D83" xr:uid="{BB8FB9C3-90C8-4A9B-94EA-89218C8670C2}"/>
  <tableColumns count="4">
    <tableColumn id="1" xr3:uid="{A3B40E2D-1E02-4DDA-927A-7543AE8DD62A}" name="Category" totalsRowLabel="Subtotal" dataDxfId="1205" totalsRowDxfId="1204"/>
    <tableColumn id="2" xr3:uid="{7CF68F3B-4A9C-46FC-80D7-E2E5C201D439}" name="Projected _x000a_cost" totalsRowFunction="custom" dataDxfId="1203" totalsRowDxfId="1202">
      <totalsRowFormula>SUM(Pets195214240253[Projected 
cost])</totalsRowFormula>
    </tableColumn>
    <tableColumn id="3" xr3:uid="{05DE9102-AD64-4D6D-9521-F44304DCC4EC}" name="Actual _x000a_cost" totalsRowFunction="custom" dataDxfId="1201" totalsRowDxfId="1200">
      <totalsRowFormula>SUM(Pets195214240253[Actual 
cost])</totalsRowFormula>
    </tableColumn>
    <tableColumn id="4" xr3:uid="{B741C30B-8042-407B-A30C-5AA151C4A0E2}" name="Difference" totalsRowFunction="sum" dataDxfId="1199" totalsRowDxfId="1198">
      <calculatedColumnFormula>Pets195214240253[[#This Row],[Projected 
cost]]-Pets195214240253[[#This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3" xr:uid="{9BB4447E-BC3B-4523-B535-2299BDD89D18}" name="PersonalCare197215241254" displayName="PersonalCare197215241254" ref="A87:D95" totalsRowCount="1" headerRowDxfId="1197" dataDxfId="1195" totalsRowDxfId="1194" headerRowBorderDxfId="1196" totalsRowBorderDxfId="1193">
  <autoFilter ref="A87:D94" xr:uid="{2CBFA43E-52CB-48F8-AA14-1E41A126831F}"/>
  <tableColumns count="4">
    <tableColumn id="1" xr3:uid="{2F70A3D3-1B8A-4A6A-A44F-2BC049E9FB7D}" name="Category" totalsRowLabel="Subtotal" dataDxfId="1192" totalsRowDxfId="1191"/>
    <tableColumn id="2" xr3:uid="{F16D096B-C95F-44D3-B69D-5E0E496745ED}" name="Projected _x000a_cost" totalsRowFunction="custom" dataDxfId="1190" totalsRowDxfId="1189">
      <totalsRowFormula>SUM(PersonalCare197215241254[Projected 
cost])</totalsRowFormula>
    </tableColumn>
    <tableColumn id="3" xr3:uid="{4583861A-7585-436A-A1C9-CAA943CABCA8}" name="Actual _x000a_cost" totalsRowFunction="custom" dataDxfId="1188" totalsRowDxfId="1187">
      <totalsRowFormula>SUM(PersonalCare197215241254[Actual 
cost])</totalsRowFormula>
    </tableColumn>
    <tableColumn id="4" xr3:uid="{3BB7BAC3-90BA-4640-821B-B1DA10DBB975}" name="Difference" totalsRowFunction="sum" dataDxfId="1186" totalsRowDxfId="1185">
      <calculatedColumnFormula>PersonalCare197215241254[[#This Row],[Projected 
cost]]-PersonalCare197215241254[[#This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4" xr:uid="{0B4D9B7F-A57F-4376-924D-301CC6137248}" name="Legal198216242255" displayName="Legal198216242255" ref="F87:I92" totalsRowCount="1" headerRowDxfId="1184" dataDxfId="1182" totalsRowDxfId="1181" headerRowBorderDxfId="1183" totalsRowBorderDxfId="1180">
  <autoFilter ref="F87:I91" xr:uid="{CE9CF11C-4460-46D8-B94F-D7DB1A431F85}"/>
  <tableColumns count="4">
    <tableColumn id="1" xr3:uid="{7015855C-2562-4387-8298-9DACD94FB953}" name="Category" totalsRowLabel="Subtotal" dataDxfId="1179" totalsRowDxfId="1178"/>
    <tableColumn id="2" xr3:uid="{654500EF-8645-41E5-8878-D7062BC16526}" name="Projected _x000a_cost" totalsRowFunction="custom" dataDxfId="1177" totalsRowDxfId="1176">
      <totalsRowFormula>SUM(Legal198216242255[Projected 
cost])</totalsRowFormula>
    </tableColumn>
    <tableColumn id="3" xr3:uid="{9DF6FCFD-5C90-4775-8D63-DDA0A37D92E2}" name="Actual _x000a_cost" totalsRowFunction="custom" dataDxfId="1175" totalsRowDxfId="1174">
      <totalsRowFormula>SUM(Legal198216242255[Actual 
cost])</totalsRowFormula>
    </tableColumn>
    <tableColumn id="4" xr3:uid="{62D73EAA-5AA2-45A6-858B-8C8EC0826709}" name="Difference" totalsRowFunction="sum" dataDxfId="1173" totalsRowDxfId="1172">
      <calculatedColumnFormula>Legal198216242255[[#This Row],[Projected 
cost]]-Legal198216242255[[#This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5" xr:uid="{293DB9B9-59DF-42FB-A870-465D3CAD1784}" name="Table176199217243256" displayName="Table176199217243256" ref="J52:J63" totalsRowShown="0" headerRowDxfId="1171" dataDxfId="1170">
  <autoFilter ref="J52:J63" xr:uid="{84D7483B-0AA3-443D-B077-CB614166CB8E}"/>
  <tableColumns count="1">
    <tableColumn id="1" xr3:uid="{8EBC7A88-B215-45FE-9588-B655052A7F9D}" name="Total Amount Owed" dataDxfId="1169"/>
  </tableColumns>
  <tableStyleInfo name="Address Book" showFirstColumn="0" showLastColumn="0" showRowStripes="1" showColumnStripes="0"/>
</table>
</file>

<file path=xl/tables/table1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1" xr:uid="{8BFB0D74-1AE4-444E-9121-F43ED9A19B64}" name="Table1516116270274278282" displayName="Table1516116270274278282" ref="C3:E40" totalsRowShown="0" headerRowCellStyle="Currency" dataCellStyle="Currency">
  <autoFilter ref="C3:E40" xr:uid="{A2C35252-D38E-4A14-BF19-C14532D2BA19}"/>
  <tableColumns count="3">
    <tableColumn id="1" xr3:uid="{ACB24277-A656-4B59-A4F1-5577A53FA414}" name="Credit Card Balances " dataCellStyle="Currency">
      <calculatedColumnFormula>#REF!</calculatedColumnFormula>
    </tableColumn>
    <tableColumn id="2" xr3:uid="{52546930-978E-4DA6-89A3-D085FF813D88}" name="Budgeted Amount" dataCellStyle="Currency"/>
    <tableColumn id="3" xr3:uid="{2E684131-ABA1-4232-9F8C-56744832460D}" name="Interest" dataDxfId="1168" dataCellStyle="Percent"/>
  </tableColumns>
  <tableStyleInfo name="TableStyleMedium2" showFirstColumn="0" showLastColumn="0" showRowStripes="1" showColumnStripes="0"/>
</table>
</file>

<file path=xl/tables/table1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2" xr:uid="{8A660D2B-AAFA-42B6-9008-66FD5A598DBC}" name="Table17218271275279283" displayName="Table17218271275279283" ref="B3:B40" totalsRowShown="0" headerRowCellStyle="Currency" dataCellStyle="Currency">
  <autoFilter ref="B3:B40" xr:uid="{84E0FCCA-604E-4CFC-A3ED-829019A207A1}"/>
  <tableColumns count="1">
    <tableColumn id="1" xr3:uid="{F6C0D933-240A-4D59-8DAE-A03A1D66D59C}" name="Credit Card " dataCellStyle="Currency"/>
  </tableColumns>
  <tableStyleInfo name="TableStyleMedium2" showFirstColumn="0" showLastColumn="0" showRowStripes="1" showColumnStripes="0"/>
</table>
</file>

<file path=xl/tables/table1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3" xr:uid="{DA006B28-C334-4A0B-9FBB-04C435B24942}" name="Table175200202174272276280284" displayName="Table175200202174272276280284" ref="B44:G65" totalsRowShown="0">
  <autoFilter ref="B44:G65" xr:uid="{22F8BEB6-9F00-4EC8-9EC9-8638209FE1D0}"/>
  <tableColumns count="6">
    <tableColumn id="1" xr3:uid="{87063BF7-E3DE-448C-B1CB-3DA391D0A58C}" name="Lender"/>
    <tableColumn id="6" xr3:uid="{E6ED37FC-8F0B-4E0F-A236-49C9EE13CA2B}" name="Loan Type"/>
    <tableColumn id="5" xr3:uid="{9BBB189B-3FFF-40D5-A735-EC5F8C63FD26}" name="Loan Amount" dataCellStyle="Currency"/>
    <tableColumn id="2" xr3:uid="{FD02AB1C-9E2A-4ACC-A0E5-5BE38D061DEC}" name="Interest"/>
    <tableColumn id="3" xr3:uid="{84A7FBC8-EF88-41BB-A376-D933C3C2F408}" name="Budgeted Amount" dataCellStyle="Currency"/>
    <tableColumn id="4" xr3:uid="{EC1D91EC-EFBA-482F-8765-1B691D3FE891}" name="Link "/>
  </tableColumns>
  <tableStyleInfo name="TableStyleMedium2" showFirstColumn="0" showLastColumn="0" showRowStripes="1" showColumnStripes="0"/>
</table>
</file>

<file path=xl/tables/table1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4" xr:uid="{5B8E3F10-ABFB-4EB8-B88C-323824D9D8BA}" name="Table177273277281285" displayName="Table177273277281285" ref="F3:F41" totalsRowShown="0">
  <autoFilter ref="F3:F41" xr:uid="{521A51DA-26B2-4803-931E-53A3500E395A}"/>
  <tableColumns count="1">
    <tableColumn id="1" xr3:uid="{93D91A1A-CEDA-4537-BEE6-28282A7C617E}" name="Links"/>
  </tableColumns>
  <tableStyleInfo name="TableStyleMedium2" showFirstColumn="0" showLastColumn="0" showRowStripes="1" showColumnStripes="0"/>
</table>
</file>

<file path=xl/tables/table1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7" xr:uid="{D18A6FD3-B0EB-4246-9151-A1BE6FBBB499}" name="Housing179205218" displayName="Housing179205218" ref="A38:D49" totalsRowCount="1" headerRowDxfId="1167" dataDxfId="1165" totalsRowDxfId="1163" headerRowBorderDxfId="1166" tableBorderDxfId="1164" totalsRowBorderDxfId="1162">
  <autoFilter ref="A38:D48" xr:uid="{EC273E32-6E66-412D-9274-02C7232B97EF}"/>
  <tableColumns count="4">
    <tableColumn id="1" xr3:uid="{EB073B87-E907-430D-9D19-1D692E8952EB}" name="Category" totalsRowLabel="Subtotal" dataDxfId="1161" totalsRowDxfId="1160"/>
    <tableColumn id="2" xr3:uid="{0ADBE447-2FD4-4DA3-8511-1190FB790615}" name="Projected_x000a_cost" totalsRowFunction="custom" dataDxfId="1159" totalsRowDxfId="1158">
      <totalsRowFormula>SUM(Housing179205218[Projected
cost])</totalsRowFormula>
    </tableColumn>
    <tableColumn id="3" xr3:uid="{5B0DF155-955D-4F4D-850D-9D8FBB8DC4C9}" name="Actual _x000a_cost" totalsRowFunction="custom" dataDxfId="1157" totalsRowDxfId="1156">
      <totalsRowFormula>SUM(Housing179205218[Actual 
cost])</totalsRowFormula>
    </tableColumn>
    <tableColumn id="4" xr3:uid="{6856EBEE-CF75-4A57-BB39-B173A6D242DB}" name="Difference" totalsRowFunction="sum" dataDxfId="1155" totalsRowDxfId="1154"/>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1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8" xr:uid="{6DCE4570-1349-4D6A-9A24-C9998311CD22}" name="Entertainment180206219" displayName="Entertainment180206219" ref="F38:I48" totalsRowCount="1" headerRowDxfId="1153" dataDxfId="1151" totalsRowDxfId="1149" headerRowBorderDxfId="1152" tableBorderDxfId="1150" totalsRowBorderDxfId="1148" headerRowCellStyle="Normal">
  <autoFilter ref="F38:I47" xr:uid="{ABCD7A91-8B8E-4420-BB8E-404C23881506}"/>
  <tableColumns count="4">
    <tableColumn id="1" xr3:uid="{6C918B81-052C-4764-8FC5-02BC1762D00A}" name="Category" totalsRowLabel="Subtotal" dataDxfId="1147" totalsRowDxfId="1146"/>
    <tableColumn id="2" xr3:uid="{10F75801-DBBD-4E85-874E-DC13F30F5B9B}" name="Projected _x000a_cost" totalsRowFunction="custom" dataDxfId="1145" totalsRowDxfId="1144">
      <totalsRowFormula>SUM(Entertainment180206219[Projected 
cost])</totalsRowFormula>
    </tableColumn>
    <tableColumn id="3" xr3:uid="{67C45FBA-D14B-498A-B702-EC4EB97A908C}" name="Actual _x000a_cost" totalsRowFunction="custom" dataDxfId="1143" totalsRowDxfId="1142">
      <totalsRowFormula>SUM(Entertainment180206219[Actual 
cost])</totalsRowFormula>
    </tableColumn>
    <tableColumn id="4" xr3:uid="{F37487A0-C8E8-43A7-9250-B0410DB0067C}" name="Difference" totalsRowFunction="sum" dataDxfId="1141" totalsRowDxfId="1140">
      <calculatedColumnFormula>Entertainment180206219[[#This Row],[Projected 
cost]]-Entertainment180206219[[#This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1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9" xr:uid="{9CB35CF1-7265-4751-B92E-86260FB6D53D}" name="Loans182207220" displayName="Loans182207220" ref="F52:I59" totalsRowCount="1" headerRowDxfId="1139" dataDxfId="1137" totalsRowDxfId="1135" headerRowBorderDxfId="1138" tableBorderDxfId="1136" totalsRowBorderDxfId="1134">
  <autoFilter ref="F52:I58" xr:uid="{46FC0980-1C10-4EC9-897C-D19A1567FFB4}"/>
  <tableColumns count="4">
    <tableColumn id="1" xr3:uid="{4583F307-5E7A-480B-BB75-401F875BC38B}" name="Category" totalsRowLabel="Subtotal" dataDxfId="1133" totalsRowDxfId="1132"/>
    <tableColumn id="2" xr3:uid="{A840317D-CA3F-4A27-B870-7F504F053510}" name="Projected _x000a_cost" totalsRowFunction="custom" dataDxfId="1131" totalsRowDxfId="1130">
      <totalsRowFormula>SUM(Loans182207220[Projected 
cost])</totalsRowFormula>
    </tableColumn>
    <tableColumn id="3" xr3:uid="{2CA453CB-0AD1-4A02-9B01-5037D1A37E69}" name="Actual _x000a_cost" totalsRowFunction="custom" dataDxfId="1129" totalsRowDxfId="1128">
      <totalsRowFormula>SUM(Loans182207220[Actual 
cost])</totalsRowFormula>
    </tableColumn>
    <tableColumn id="4" xr3:uid="{69BB5321-70F8-41DE-8F70-0F1CF3DA4C2C}" name="Difference" totalsRowFunction="sum" dataDxfId="1127" totalsRowDxfId="1126">
      <calculatedColumnFormula>Loans182207220[[#This Row],[Projected 
cost]]-Loans182207220[[#This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1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0" xr:uid="{F6012E65-3BF8-43BB-974F-69F7609FE1C3}" name="Transportation183208221" displayName="Transportation183208221" ref="A52:D60" totalsRowCount="1" headerRowDxfId="1125" dataDxfId="1123" totalsRowDxfId="1121" headerRowBorderDxfId="1124" tableBorderDxfId="1122" totalsRowBorderDxfId="1120">
  <autoFilter ref="A52:D59" xr:uid="{3791348C-6B86-4DC3-9AC7-E3294CB9F519}"/>
  <tableColumns count="4">
    <tableColumn id="1" xr3:uid="{BF4179BD-8011-4D96-A215-43695C30EB13}" name="Category" totalsRowLabel="Subtotal" dataDxfId="1119" totalsRowDxfId="1118"/>
    <tableColumn id="2" xr3:uid="{EF33F6A6-DD5D-4924-92D7-F9E1E2374AC1}" name="Projected _x000a_cost" totalsRowFunction="custom" dataDxfId="1117" totalsRowDxfId="1116">
      <totalsRowFormula>SUM(Transportation183208221[Projected 
cost])</totalsRowFormula>
    </tableColumn>
    <tableColumn id="3" xr3:uid="{9C89B627-A92F-45D3-860A-4578EC2B7310}" name="Actual _x000a_cost" totalsRowFunction="custom" dataDxfId="1115" totalsRowDxfId="1114">
      <totalsRowFormula>SUM(Transportation183208221[Actual 
cost])</totalsRowFormula>
    </tableColumn>
    <tableColumn id="4" xr3:uid="{4CD06120-3B01-4F09-981D-C7F21357DDCE}" name="Difference" totalsRowFunction="sum" dataDxfId="1113" totalsRowDxfId="1112">
      <calculatedColumnFormula>Transportation183208221[[#This Row],[Projected 
cost]]-Transportation183208221[[#This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1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1" xr:uid="{3B65A9DC-AC2D-41A0-A947-B15CA8C0E1ED}" name="Insurance185209222" displayName="Insurance185209222" ref="A63:D68" totalsRowCount="1" headerRowDxfId="1111" dataDxfId="1109" totalsRowDxfId="1107" headerRowBorderDxfId="1110" tableBorderDxfId="1108" totalsRowBorderDxfId="1106">
  <autoFilter ref="A63:D67" xr:uid="{97815EBA-35E4-46C9-99FC-9A9B6F57B9D9}"/>
  <tableColumns count="4">
    <tableColumn id="1" xr3:uid="{4BD88855-02D9-4705-BED0-4B396F0285B2}" name="Category" totalsRowLabel="Subtotal" dataDxfId="1105" totalsRowDxfId="1104"/>
    <tableColumn id="2" xr3:uid="{7DDB631A-41EF-4E0C-A9EB-E65087931269}" name="Projected_x000a_cost" totalsRowLabel="$0.00" dataDxfId="1103" totalsRowDxfId="1102"/>
    <tableColumn id="3" xr3:uid="{AF4FC447-4F0B-44B7-ADEE-DF222A270B85}" name="Actual _x000a_cost" totalsRowFunction="custom" dataDxfId="1101" totalsRowDxfId="1100">
      <totalsRowFormula>SUM(Insurance185209222[Actual 
cost])</totalsRowFormula>
    </tableColumn>
    <tableColumn id="4" xr3:uid="{ACF62275-85C6-467D-A33D-217D4B9A1E94}" name="Difference" totalsRowFunction="sum" dataDxfId="1099" totalsRowDxfId="1098">
      <calculatedColumnFormula>Insurance185209222[[#This Row],[Projected
cost]]-Insurance185209222[[#This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1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2" xr:uid="{6CE79EDA-A2C6-4FC6-86E9-0730965D7F2B}" name="Taxes187210223" displayName="Taxes187210223" ref="F63:I68" totalsRowCount="1" headerRowDxfId="1097" dataDxfId="1095" totalsRowDxfId="1093" headerRowBorderDxfId="1096" tableBorderDxfId="1094" totalsRowBorderDxfId="1092">
  <autoFilter ref="F63:I67" xr:uid="{41433824-9014-42A3-A455-96583DB291E2}"/>
  <tableColumns count="4">
    <tableColumn id="1" xr3:uid="{583A0875-ACE2-4BB8-83B5-ECFF3AD2071D}" name="Category" totalsRowLabel="Subtotal" dataDxfId="1091" totalsRowDxfId="1090"/>
    <tableColumn id="2" xr3:uid="{80169655-0816-4E24-B3D7-4AF1A5CF0260}" name="Projected _x000a_cost" totalsRowFunction="custom" dataDxfId="1089" totalsRowDxfId="1088">
      <totalsRowFormula>SUM(Taxes187210223[Projected 
cost])</totalsRowFormula>
    </tableColumn>
    <tableColumn id="3" xr3:uid="{E7492C27-0EA4-4B7E-AC41-0E2B487F0205}" name="Actual _x000a_cost" totalsRowFunction="custom" dataDxfId="1087" totalsRowDxfId="1086">
      <totalsRowFormula>SUM(Taxes187210223[Actual 
cost])</totalsRowFormula>
    </tableColumn>
    <tableColumn id="4" xr3:uid="{4445C6B5-347E-443B-A7D2-24DC8D5400C2}" name="Difference" totalsRowFunction="sum" dataDxfId="1085" totalsRowDxfId="1084">
      <calculatedColumnFormula>Taxes187210223[[#This Row],[Projected 
cost]]-Taxes187210223[[#This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1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3" xr:uid="{6C2DA105-FDAA-4D1F-B481-D1DE05068C6C}" name="Savings189211224" displayName="Savings189211224" ref="F71:I75" totalsRowCount="1" headerRowDxfId="1083" dataDxfId="1081" totalsRowDxfId="1080" headerRowBorderDxfId="1082" totalsRowBorderDxfId="1079">
  <autoFilter ref="F71:I74" xr:uid="{E1977D02-FD4F-4559-BAF7-ADB98963CB0F}"/>
  <tableColumns count="4">
    <tableColumn id="1" xr3:uid="{A9AE2B8D-E6BE-4E7C-A12F-E362B9817573}" name="Category" totalsRowLabel="Subtotal" dataDxfId="1078" totalsRowDxfId="1077"/>
    <tableColumn id="2" xr3:uid="{472F52CB-92DF-45F6-93C3-8A552799BABA}" name="Projected _x000a_cost" totalsRowFunction="custom" dataDxfId="1076" totalsRowDxfId="1075">
      <totalsRowFormula>SUM(Savings189211224[Projected 
cost])</totalsRowFormula>
    </tableColumn>
    <tableColumn id="3" xr3:uid="{4109E89C-85FF-41E9-9814-D444BBCC9141}" name="Actual _x000a_cost" totalsRowFunction="custom" dataDxfId="1074" totalsRowDxfId="1073">
      <totalsRowFormula>SUM(Savings189211224[Actual 
cost])</totalsRowFormula>
    </tableColumn>
    <tableColumn id="4" xr3:uid="{9708C07D-C358-4ECC-A4A9-F77549CD6318}" name="Difference" totalsRowFunction="sum" dataDxfId="1072" totalsRowDxfId="1071">
      <calculatedColumnFormula>Savings189211224[[#This Row],[Projected 
cost]]-Savings189211224[[#This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4" xr:uid="{4211D465-F3F7-4C3B-B014-FCCC939B9356}" name="Food191212225" displayName="Food191212225" ref="A71:D75" totalsRowCount="1" headerRowDxfId="1070" dataDxfId="1068" totalsRowDxfId="1066" headerRowBorderDxfId="1069" tableBorderDxfId="1067" totalsRowBorderDxfId="1065">
  <autoFilter ref="A71:D74" xr:uid="{752B363C-2D82-4416-B41B-450F9541E34C}"/>
  <tableColumns count="4">
    <tableColumn id="1" xr3:uid="{A340B114-D320-4D12-B1F4-9BD73C5FC958}" name="Category" totalsRowLabel="Subtotal" dataDxfId="1064" totalsRowDxfId="1063"/>
    <tableColumn id="2" xr3:uid="{7CF546B0-2963-4D23-ADAA-7378F3CFFDBF}" name="Projected _x000a_cost" totalsRowFunction="custom" dataDxfId="1062" totalsRowDxfId="1061">
      <totalsRowFormula>SUM(Food191212225[Projected 
cost])</totalsRowFormula>
    </tableColumn>
    <tableColumn id="3" xr3:uid="{4DC90441-4BE9-43F9-BEA4-5DC6CFC7422C}" name="Actual _x000a_cost" totalsRowFunction="custom" dataDxfId="1060" totalsRowDxfId="1059">
      <totalsRowFormula>SUM(Food191212225[Actual 
cost])</totalsRowFormula>
    </tableColumn>
    <tableColumn id="4" xr3:uid="{1BC777B7-2E41-4732-B49D-A1D4289ED43B}" name="Difference" totalsRowFunction="sum" dataDxfId="1058" totalsRowDxfId="1057">
      <calculatedColumnFormula>Food191212225[[#This Row],[Projected 
cost]]-Food191212225[[#This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5" xr:uid="{39722C76-9D09-4344-A8E6-4934E8150B24}" name="Gifts193213226" displayName="Gifts193213226" ref="F78:I82" totalsRowCount="1" headerRowDxfId="1056" dataDxfId="1054" totalsRowDxfId="1053" headerRowBorderDxfId="1055" totalsRowBorderDxfId="1052">
  <autoFilter ref="F78:I81" xr:uid="{14E81561-7182-48EB-877C-1D3C0D007945}"/>
  <tableColumns count="4">
    <tableColumn id="1" xr3:uid="{F512C73C-C056-434A-BEF8-0B27F15C5F7D}" name="Category" totalsRowLabel="Subtotal" dataDxfId="1051" totalsRowDxfId="1050"/>
    <tableColumn id="2" xr3:uid="{1BD547DF-AA44-4195-8C37-7F6AE91B70B7}" name="Projected _x000a_cost" totalsRowFunction="custom" dataDxfId="1049" totalsRowDxfId="1048">
      <totalsRowFormula>SUM(Gifts193213226[Projected 
cost])</totalsRowFormula>
    </tableColumn>
    <tableColumn id="3" xr3:uid="{1774AD4E-653F-4346-8D12-BDDAA43024B4}" name="Actual _x000a_cost" totalsRowFunction="custom" dataDxfId="1047" totalsRowDxfId="1046">
      <totalsRowFormula>SUM(Gifts193213226[Actual 
cost])</totalsRowFormula>
    </tableColumn>
    <tableColumn id="4" xr3:uid="{AF885319-7B2D-4578-BD82-662A117585A3}" name="Difference" totalsRowFunction="sum" dataDxfId="1045" totalsRowDxfId="1044">
      <calculatedColumnFormula>Gifts193213226[[#This Row],[Projected 
cost]]-Gifts193213226[[#This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6" xr:uid="{00F4BF1A-05FB-45F4-AAB2-43EA3C857013}" name="Pets195214227" displayName="Pets195214227" ref="A78:D84" totalsRowCount="1" headerRowDxfId="1043" dataDxfId="1041" totalsRowDxfId="1040" headerRowBorderDxfId="1042" totalsRowBorderDxfId="1039">
  <autoFilter ref="A78:D83" xr:uid="{BB8FB9C3-90C8-4A9B-94EA-89218C8670C2}"/>
  <tableColumns count="4">
    <tableColumn id="1" xr3:uid="{52A79B10-D222-4EC1-B901-E8EB9FDD4D1B}" name="Category" totalsRowLabel="Subtotal" dataDxfId="1038" totalsRowDxfId="1037"/>
    <tableColumn id="2" xr3:uid="{D0E1270B-88B0-4424-B910-AAC36997D4A5}" name="Projected _x000a_cost" totalsRowFunction="custom" dataDxfId="1036" totalsRowDxfId="1035">
      <totalsRowFormula>SUM(Pets195214227[Projected 
cost])</totalsRowFormula>
    </tableColumn>
    <tableColumn id="3" xr3:uid="{4FEAD26E-F655-4275-8FEC-05657D4304A9}" name="Actual _x000a_cost" totalsRowFunction="custom" dataDxfId="1034" totalsRowDxfId="1033">
      <totalsRowFormula>SUM(Pets195214227[Actual 
cost])</totalsRowFormula>
    </tableColumn>
    <tableColumn id="4" xr3:uid="{0DAD11C8-6F42-46F5-ADC0-E3696536885C}" name="Difference" totalsRowFunction="sum" dataDxfId="1032" totalsRowDxfId="1031">
      <calculatedColumnFormula>Pets195214227[[#This Row],[Projected 
cost]]-Pets195214227[[#This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7" xr:uid="{87F08F92-626C-4F85-8AF7-1FFF9237B5E1}" name="PersonalCare197215228" displayName="PersonalCare197215228" ref="A87:D95" totalsRowCount="1" headerRowDxfId="1030" dataDxfId="1028" totalsRowDxfId="1027" headerRowBorderDxfId="1029" totalsRowBorderDxfId="1026">
  <autoFilter ref="A87:D94" xr:uid="{2CBFA43E-52CB-48F8-AA14-1E41A126831F}"/>
  <tableColumns count="4">
    <tableColumn id="1" xr3:uid="{EFABBE0A-8C6A-4A93-A42C-7882A1D649E4}" name="Category" totalsRowLabel="Subtotal" dataDxfId="1025" totalsRowDxfId="1024"/>
    <tableColumn id="2" xr3:uid="{C2AD5139-544A-496A-9D7A-703EECAFC4E0}" name="Projected _x000a_cost" totalsRowFunction="custom" dataDxfId="1023" totalsRowDxfId="1022">
      <totalsRowFormula>SUM(PersonalCare197215228[Projected 
cost])</totalsRowFormula>
    </tableColumn>
    <tableColumn id="3" xr3:uid="{3AF7BD9B-5350-41D1-B7F0-ACDA6B92D23E}" name="Actual _x000a_cost" totalsRowFunction="custom" dataDxfId="1021" totalsRowDxfId="1020">
      <totalsRowFormula>SUM(PersonalCare197215228[Actual 
cost])</totalsRowFormula>
    </tableColumn>
    <tableColumn id="4" xr3:uid="{FE2360BA-F5C0-4F69-952D-43C4646051B5}" name="Difference" totalsRowFunction="sum" dataDxfId="1019" totalsRowDxfId="1018">
      <calculatedColumnFormula>PersonalCare197215228[[#This Row],[Projected 
cost]]-PersonalCare197215228[[#This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8" xr:uid="{88E4E9AA-54F5-4CDF-8504-AD0B44B717D0}" name="Legal198216229" displayName="Legal198216229" ref="F87:I92" totalsRowCount="1" headerRowDxfId="1017" dataDxfId="1015" totalsRowDxfId="1014" headerRowBorderDxfId="1016" totalsRowBorderDxfId="1013">
  <autoFilter ref="F87:I91" xr:uid="{CE9CF11C-4460-46D8-B94F-D7DB1A431F85}"/>
  <tableColumns count="4">
    <tableColumn id="1" xr3:uid="{9BA3D6BC-6AA5-4440-9719-AC9D364CA82E}" name="Category" totalsRowLabel="Subtotal" dataDxfId="1012" totalsRowDxfId="1011"/>
    <tableColumn id="2" xr3:uid="{101976BF-77ED-4499-8C1E-F2969E64C9B4}" name="Projected _x000a_cost" totalsRowFunction="custom" dataDxfId="1010" totalsRowDxfId="1009">
      <totalsRowFormula>SUM(Legal198216229[Projected 
cost])</totalsRowFormula>
    </tableColumn>
    <tableColumn id="3" xr3:uid="{EBC30E8A-4996-4E0C-9262-A6D4D1054DD5}" name="Actual _x000a_cost" totalsRowFunction="custom" dataDxfId="1008" totalsRowDxfId="1007">
      <totalsRowFormula>SUM(Legal198216229[Actual 
cost])</totalsRowFormula>
    </tableColumn>
    <tableColumn id="4" xr3:uid="{7FBEC209-37F7-4C32-B66B-28478EC1E3C7}" name="Difference" totalsRowFunction="sum" dataDxfId="1006" totalsRowDxfId="1005">
      <calculatedColumnFormula>Legal198216229[[#This Row],[Projected 
cost]]-Legal198216229[[#This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9" xr:uid="{415FF057-905B-4120-918A-901B31DFFCED}" name="Table176199217230" displayName="Table176199217230" ref="J52:J63" totalsRowShown="0" headerRowDxfId="1004" dataDxfId="1003">
  <autoFilter ref="J52:J63" xr:uid="{84D7483B-0AA3-443D-B077-CB614166CB8E}"/>
  <tableColumns count="1">
    <tableColumn id="1" xr3:uid="{BEEA7A77-97D8-4E53-8BE5-BD62887198CE}" name="Total Amount Owed" dataDxfId="1002"/>
  </tableColumns>
  <tableStyleInfo name="Address Book" showFirstColumn="0" showLastColumn="0" showRowStripes="1" showColumnStripes="0"/>
</table>
</file>

<file path=xl/tables/table1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5" xr:uid="{5294A7CD-8F86-46FD-B57B-F93A42F28BDA}" name="Table1516116270274278282286" displayName="Table1516116270274278282286" ref="C3:E40" totalsRowShown="0" headerRowCellStyle="Currency" dataCellStyle="Currency">
  <autoFilter ref="C3:E40" xr:uid="{A2C35252-D38E-4A14-BF19-C14532D2BA19}"/>
  <tableColumns count="3">
    <tableColumn id="1" xr3:uid="{B39CAB32-F52E-4AB1-B3CF-BBF14297F9D7}" name="Credit Card Balances " dataCellStyle="Currency">
      <calculatedColumnFormula>#REF!</calculatedColumnFormula>
    </tableColumn>
    <tableColumn id="2" xr3:uid="{517F0275-721C-4F9A-9F61-31C927888F17}" name="Budgeted Amount" dataCellStyle="Currency"/>
    <tableColumn id="3" xr3:uid="{0BF09B29-11AD-4AC1-A8D3-5858E3B593B5}" name="Interest" dataDxfId="1001" dataCellStyle="Percent"/>
  </tableColumns>
  <tableStyleInfo name="TableStyleMedium2" showFirstColumn="0" showLastColumn="0" showRowStripes="1" showColumnStripes="0"/>
</table>
</file>

<file path=xl/tables/table1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6" xr:uid="{3DA0973C-3400-4CB6-81B9-943EB2E22C08}" name="Table17218271275279283287" displayName="Table17218271275279283287" ref="B3:B40" totalsRowShown="0" headerRowCellStyle="Currency" dataCellStyle="Currency">
  <autoFilter ref="B3:B40" xr:uid="{84E0FCCA-604E-4CFC-A3ED-829019A207A1}"/>
  <tableColumns count="1">
    <tableColumn id="1" xr3:uid="{201DAD74-FCF3-483C-A35E-6213F6ACD507}" name="Credit Card " dataCellStyle="Currency"/>
  </tableColumns>
  <tableStyleInfo name="TableStyleMedium2" showFirstColumn="0" showLastColumn="0" showRowStripes="1" showColumnStripes="0"/>
</table>
</file>

<file path=xl/tables/table1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7" xr:uid="{9027A24F-4981-4A04-B45C-04FEEC6840B9}" name="Table175200202174272276280284288" displayName="Table175200202174272276280284288" ref="B44:G65" totalsRowShown="0">
  <autoFilter ref="B44:G65" xr:uid="{22F8BEB6-9F00-4EC8-9EC9-8638209FE1D0}"/>
  <tableColumns count="6">
    <tableColumn id="1" xr3:uid="{98EB8A58-6216-4AAA-BE85-52FBBED5B22A}" name="Lender"/>
    <tableColumn id="6" xr3:uid="{0DDE64E3-15ED-4EC7-BFEA-8372F8802FEF}" name="Loan Type"/>
    <tableColumn id="5" xr3:uid="{76AB0AFE-E254-4CBD-9926-730F3A65E814}" name="Loan Amount" dataCellStyle="Currency"/>
    <tableColumn id="2" xr3:uid="{C29F7E70-6275-4256-8337-DB8147BB5133}" name="Interest"/>
    <tableColumn id="3" xr3:uid="{870EBACB-6F8F-46F4-9CCC-BFED3455215A}" name="Budgeted Amount" dataCellStyle="Currency"/>
    <tableColumn id="4" xr3:uid="{DCEA7F95-EF97-4C94-8985-F1C8F1349892}" name="Link "/>
  </tableColumns>
  <tableStyleInfo name="TableStyleMedium2" showFirstColumn="0" showLastColumn="0" showRowStripes="1" showColumnStripes="0"/>
</table>
</file>

<file path=xl/tables/table1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8" xr:uid="{3F8E4A68-2D60-450C-B8A7-591F3607CA25}" name="Table177273277281285289" displayName="Table177273277281285289" ref="F3:F41" totalsRowShown="0">
  <autoFilter ref="F3:F41" xr:uid="{521A51DA-26B2-4803-931E-53A3500E395A}"/>
  <tableColumns count="1">
    <tableColumn id="1" xr3:uid="{9F663B79-E057-47B3-A2D7-C59D71A70319}" name="Links"/>
  </tableColumns>
  <tableStyleInfo name="TableStyleMedium2" showFirstColumn="0" showLastColumn="0" showRowStripes="1" showColumnStripes="0"/>
</table>
</file>

<file path=xl/tables/table1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9" xr:uid="{C5AE13DD-BCA0-48AB-B5C6-E150966F41EA}" name="Housing179205218290" displayName="Housing179205218290" ref="A38:D49" totalsRowCount="1" headerRowDxfId="1000" dataDxfId="998" totalsRowDxfId="996" headerRowBorderDxfId="999" tableBorderDxfId="997" totalsRowBorderDxfId="995">
  <autoFilter ref="A38:D48" xr:uid="{EC273E32-6E66-412D-9274-02C7232B97EF}"/>
  <tableColumns count="4">
    <tableColumn id="1" xr3:uid="{676E049A-63CC-4ED5-8BB1-B95692313F8C}" name="Category" totalsRowLabel="Subtotal" dataDxfId="994" totalsRowDxfId="993"/>
    <tableColumn id="2" xr3:uid="{5240226E-54CB-4C16-AEB3-A8A31C89853F}" name="Projected_x000a_cost" totalsRowFunction="custom" dataDxfId="992" totalsRowDxfId="991">
      <totalsRowFormula>SUM(Housing179205218290[Projected
cost])</totalsRowFormula>
    </tableColumn>
    <tableColumn id="3" xr3:uid="{E7722DD7-FAA7-45D8-9535-6357898CBB02}" name="Actual _x000a_cost" totalsRowFunction="custom" dataDxfId="990" totalsRowDxfId="989">
      <totalsRowFormula>SUM(Housing179205218290[Actual 
cost])</totalsRowFormula>
    </tableColumn>
    <tableColumn id="4" xr3:uid="{09E23346-38DC-41EB-95FC-9B0E2E43622F}" name="Difference" totalsRowFunction="sum" dataDxfId="988" totalsRowDxfId="987"/>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1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0" xr:uid="{1F3AAEA4-B62F-446E-84D0-1247EADBFC65}" name="Entertainment180206219291" displayName="Entertainment180206219291" ref="F38:I48" totalsRowCount="1" headerRowDxfId="986" dataDxfId="984" totalsRowDxfId="982" headerRowBorderDxfId="985" tableBorderDxfId="983" totalsRowBorderDxfId="981" headerRowCellStyle="Normal">
  <autoFilter ref="F38:I47" xr:uid="{ABCD7A91-8B8E-4420-BB8E-404C23881506}"/>
  <tableColumns count="4">
    <tableColumn id="1" xr3:uid="{5B0807F3-6E9A-458D-A79A-87BB8AF78875}" name="Category" totalsRowLabel="Subtotal" dataDxfId="980" totalsRowDxfId="979"/>
    <tableColumn id="2" xr3:uid="{6CB9A58D-D3AC-4989-A5CC-95DAFA566803}" name="Projected _x000a_cost" totalsRowFunction="custom" dataDxfId="978" totalsRowDxfId="977">
      <totalsRowFormula>SUM(Entertainment180206219291[Projected 
cost])</totalsRowFormula>
    </tableColumn>
    <tableColumn id="3" xr3:uid="{732E9351-A250-46FF-BEA6-3CCEA6DBB750}" name="Actual _x000a_cost" totalsRowFunction="custom" dataDxfId="976" totalsRowDxfId="975">
      <totalsRowFormula>SUM(Entertainment180206219291[Actual 
cost])</totalsRowFormula>
    </tableColumn>
    <tableColumn id="4" xr3:uid="{97575532-F608-48F4-9B1A-59B43122A88E}" name="Difference" totalsRowFunction="sum" dataDxfId="974" totalsRowDxfId="973">
      <calculatedColumnFormula>Entertainment180206219291[[#This Row],[Projected 
cost]]-Entertainment180206219291[[#This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1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1" xr:uid="{D00A57CD-E99F-4D01-881F-B5B151BC8368}" name="Loans182207220292" displayName="Loans182207220292" ref="F52:I59" totalsRowCount="1" headerRowDxfId="972" dataDxfId="970" totalsRowDxfId="968" headerRowBorderDxfId="971" tableBorderDxfId="969" totalsRowBorderDxfId="967">
  <autoFilter ref="F52:I58" xr:uid="{46FC0980-1C10-4EC9-897C-D19A1567FFB4}"/>
  <tableColumns count="4">
    <tableColumn id="1" xr3:uid="{BAA5CC28-BBFB-432F-A080-A497E20792F6}" name="Category" totalsRowLabel="Subtotal" dataDxfId="966" totalsRowDxfId="965"/>
    <tableColumn id="2" xr3:uid="{DD9A6E8E-42FD-456B-A8B1-E69AD170AC84}" name="Projected _x000a_cost" totalsRowFunction="custom" dataDxfId="964" totalsRowDxfId="963">
      <totalsRowFormula>SUM(Loans182207220292[Projected 
cost])</totalsRowFormula>
    </tableColumn>
    <tableColumn id="3" xr3:uid="{5F7A1302-C7CD-4136-92A0-82822D885D70}" name="Actual _x000a_cost" totalsRowFunction="custom" dataDxfId="962" totalsRowDxfId="961">
      <totalsRowFormula>SUM(Loans182207220292[Actual 
cost])</totalsRowFormula>
    </tableColumn>
    <tableColumn id="4" xr3:uid="{E37201DF-F122-45F9-84EC-07AC04D09071}" name="Difference" totalsRowFunction="sum" dataDxfId="960" totalsRowDxfId="959">
      <calculatedColumnFormula>Loans182207220292[[#This Row],[Projected 
cost]]-Loans182207220292[[#This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1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2" xr:uid="{8B975657-E353-4BC9-86EC-A464D4E0264B}" name="Transportation183208221293" displayName="Transportation183208221293" ref="A52:D60" totalsRowCount="1" headerRowDxfId="958" dataDxfId="956" totalsRowDxfId="954" headerRowBorderDxfId="957" tableBorderDxfId="955" totalsRowBorderDxfId="953">
  <autoFilter ref="A52:D59" xr:uid="{3791348C-6B86-4DC3-9AC7-E3294CB9F519}"/>
  <tableColumns count="4">
    <tableColumn id="1" xr3:uid="{07D22FA5-1F7C-4354-AE2B-320D2C966A8B}" name="Category" totalsRowLabel="Subtotal" dataDxfId="952" totalsRowDxfId="951"/>
    <tableColumn id="2" xr3:uid="{C37B3066-A152-447D-8F79-8DDE4898CDDB}" name="Projected _x000a_cost" totalsRowFunction="custom" dataDxfId="950" totalsRowDxfId="949">
      <totalsRowFormula>SUM(Transportation183208221293[Projected 
cost])</totalsRowFormula>
    </tableColumn>
    <tableColumn id="3" xr3:uid="{5A8D6C40-07BE-4115-8E55-1B8BB54882FA}" name="Actual _x000a_cost" totalsRowFunction="custom" dataDxfId="948" totalsRowDxfId="947">
      <totalsRowFormula>SUM(Transportation183208221293[Actual 
cost])</totalsRowFormula>
    </tableColumn>
    <tableColumn id="4" xr3:uid="{AAE7D8A0-EF28-4C8E-A548-A8CEF078E62D}" name="Difference" totalsRowFunction="sum" dataDxfId="946" totalsRowDxfId="945">
      <calculatedColumnFormula>Transportation183208221293[[#This Row],[Projected 
cost]]-Transportation183208221293[[#This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1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3" xr:uid="{918DBF50-810C-40BD-8950-6C5D6F6EFEB5}" name="Insurance185209222294" displayName="Insurance185209222294" ref="A63:D68" totalsRowCount="1" headerRowDxfId="944" dataDxfId="942" totalsRowDxfId="940" headerRowBorderDxfId="943" tableBorderDxfId="941" totalsRowBorderDxfId="939">
  <autoFilter ref="A63:D67" xr:uid="{97815EBA-35E4-46C9-99FC-9A9B6F57B9D9}"/>
  <tableColumns count="4">
    <tableColumn id="1" xr3:uid="{5255FD8F-D911-4F6A-9128-5885032A3F05}" name="Category" totalsRowLabel="Subtotal" dataDxfId="938" totalsRowDxfId="937"/>
    <tableColumn id="2" xr3:uid="{3A39EA88-9DC9-4954-B014-D8FA56C65019}" name="Projected_x000a_cost" totalsRowLabel="$0.00" dataDxfId="936" totalsRowDxfId="935"/>
    <tableColumn id="3" xr3:uid="{F33F5869-7E9F-434F-B516-B199C40D1655}" name="Actual _x000a_cost" totalsRowFunction="custom" dataDxfId="934" totalsRowDxfId="933">
      <totalsRowFormula>SUM(Insurance185209222294[Actual 
cost])</totalsRowFormula>
    </tableColumn>
    <tableColumn id="4" xr3:uid="{B1CF2523-109D-406A-94C5-65BA373C7D8B}" name="Difference" totalsRowFunction="sum" dataDxfId="932" totalsRowDxfId="931">
      <calculatedColumnFormula>Insurance185209222294[[#This Row],[Projected
cost]]-Insurance185209222294[[#This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1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4" xr:uid="{9ECB1160-AE40-4C39-A066-9A90C61A750F}" name="Taxes187210223295" displayName="Taxes187210223295" ref="F63:I68" totalsRowCount="1" headerRowDxfId="930" dataDxfId="928" totalsRowDxfId="926" headerRowBorderDxfId="929" tableBorderDxfId="927" totalsRowBorderDxfId="925">
  <autoFilter ref="F63:I67" xr:uid="{41433824-9014-42A3-A455-96583DB291E2}"/>
  <tableColumns count="4">
    <tableColumn id="1" xr3:uid="{3A3EB377-1A4F-430A-B829-1273048A950E}" name="Category" totalsRowLabel="Subtotal" dataDxfId="924" totalsRowDxfId="923"/>
    <tableColumn id="2" xr3:uid="{173ECCF7-7397-446E-A636-29A64DBA479C}" name="Projected _x000a_cost" totalsRowFunction="custom" dataDxfId="922" totalsRowDxfId="921">
      <totalsRowFormula>SUM(Taxes187210223295[Projected 
cost])</totalsRowFormula>
    </tableColumn>
    <tableColumn id="3" xr3:uid="{52908FB0-88C4-40CD-8EB6-FF18A9D8F2EE}" name="Actual _x000a_cost" totalsRowFunction="custom" dataDxfId="920" totalsRowDxfId="919">
      <totalsRowFormula>SUM(Taxes187210223295[Actual 
cost])</totalsRowFormula>
    </tableColumn>
    <tableColumn id="4" xr3:uid="{F1ABE5D7-D294-4CC5-9111-A1E4E390B50D}" name="Difference" totalsRowFunction="sum" dataDxfId="918" totalsRowDxfId="917">
      <calculatedColumnFormula>Taxes187210223295[[#This Row],[Projected 
cost]]-Taxes187210223295[[#This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1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5" xr:uid="{E825D191-04F5-4BBB-A847-5C617A557F25}" name="Savings189211224296" displayName="Savings189211224296" ref="F71:I75" totalsRowCount="1" headerRowDxfId="916" dataDxfId="914" totalsRowDxfId="913" headerRowBorderDxfId="915" totalsRowBorderDxfId="912">
  <autoFilter ref="F71:I74" xr:uid="{E1977D02-FD4F-4559-BAF7-ADB98963CB0F}"/>
  <tableColumns count="4">
    <tableColumn id="1" xr3:uid="{0E8520A4-1F34-41BC-A210-C449B1BD739F}" name="Category" totalsRowLabel="Subtotal" dataDxfId="911" totalsRowDxfId="910"/>
    <tableColumn id="2" xr3:uid="{1BE56DDB-2191-4A01-83BB-F389231BA745}" name="Projected _x000a_cost" totalsRowFunction="custom" dataDxfId="909" totalsRowDxfId="908">
      <totalsRowFormula>SUM(Savings189211224296[Projected 
cost])</totalsRowFormula>
    </tableColumn>
    <tableColumn id="3" xr3:uid="{F7646658-6F9A-43D5-BA34-39A0B8697B01}" name="Actual _x000a_cost" totalsRowFunction="custom" dataDxfId="907" totalsRowDxfId="906">
      <totalsRowFormula>SUM(Savings189211224296[Actual 
cost])</totalsRowFormula>
    </tableColumn>
    <tableColumn id="4" xr3:uid="{76F5276F-99E9-499C-B336-E09727DE8ED3}" name="Difference" totalsRowFunction="sum" dataDxfId="905" totalsRowDxfId="904">
      <calculatedColumnFormula>Savings189211224296[[#This Row],[Projected 
cost]]-Savings189211224296[[#This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6" xr:uid="{7E4696ED-7D2C-4C2F-A055-A1F6DB20F78B}" name="Food191212225297" displayName="Food191212225297" ref="A71:D75" totalsRowCount="1" headerRowDxfId="903" dataDxfId="901" totalsRowDxfId="899" headerRowBorderDxfId="902" tableBorderDxfId="900" totalsRowBorderDxfId="898">
  <autoFilter ref="A71:D74" xr:uid="{752B363C-2D82-4416-B41B-450F9541E34C}"/>
  <tableColumns count="4">
    <tableColumn id="1" xr3:uid="{4978E9A2-38F6-44EE-8834-EBCEDBFC52C5}" name="Category" totalsRowLabel="Subtotal" dataDxfId="897" totalsRowDxfId="896"/>
    <tableColumn id="2" xr3:uid="{AE2D1977-CBBD-4729-A8BF-9D560284C55F}" name="Projected _x000a_cost" totalsRowFunction="custom" dataDxfId="895" totalsRowDxfId="894">
      <totalsRowFormula>SUM(Food191212225297[Projected 
cost])</totalsRowFormula>
    </tableColumn>
    <tableColumn id="3" xr3:uid="{0B070708-24D6-4E84-BCF8-9A0145661553}" name="Actual _x000a_cost" totalsRowFunction="custom" dataDxfId="893" totalsRowDxfId="892">
      <totalsRowFormula>SUM(Food191212225297[Actual 
cost])</totalsRowFormula>
    </tableColumn>
    <tableColumn id="4" xr3:uid="{311CB003-C739-41AE-AA96-BD1EF0AA24AD}" name="Difference" totalsRowFunction="sum" dataDxfId="891" totalsRowDxfId="890">
      <calculatedColumnFormula>Food191212225297[[#This Row],[Projected 
cost]]-Food191212225297[[#This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7" xr:uid="{92F402C2-E59B-4DC8-BBC8-B1BD31F72C0A}" name="Gifts193213226298" displayName="Gifts193213226298" ref="F78:I82" totalsRowCount="1" headerRowDxfId="889" dataDxfId="887" totalsRowDxfId="886" headerRowBorderDxfId="888" totalsRowBorderDxfId="885">
  <autoFilter ref="F78:I81" xr:uid="{14E81561-7182-48EB-877C-1D3C0D007945}"/>
  <tableColumns count="4">
    <tableColumn id="1" xr3:uid="{3425522F-ED59-4AEB-BBF8-5B06CCCBC59E}" name="Category" totalsRowLabel="Subtotal" dataDxfId="884" totalsRowDxfId="883"/>
    <tableColumn id="2" xr3:uid="{E6DB7837-1313-41D7-AD5E-3976D5904907}" name="Projected _x000a_cost" totalsRowFunction="custom" dataDxfId="882" totalsRowDxfId="881">
      <totalsRowFormula>SUM(Gifts193213226298[Projected 
cost])</totalsRowFormula>
    </tableColumn>
    <tableColumn id="3" xr3:uid="{CF6572C1-B5DD-45DA-9767-646C6C516331}" name="Actual _x000a_cost" totalsRowFunction="custom" dataDxfId="880" totalsRowDxfId="879">
      <totalsRowFormula>SUM(Gifts193213226298[Actual 
cost])</totalsRowFormula>
    </tableColumn>
    <tableColumn id="4" xr3:uid="{BDA01BC8-AED4-4B3D-8A65-8CB553F700C3}" name="Difference" totalsRowFunction="sum" dataDxfId="878" totalsRowDxfId="877">
      <calculatedColumnFormula>Gifts193213226298[[#This Row],[Projected 
cost]]-Gifts193213226298[[#This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8" xr:uid="{488E1436-B085-4251-AB72-C242B95E0894}" name="Pets195214227299" displayName="Pets195214227299" ref="A78:D84" totalsRowCount="1" headerRowDxfId="876" dataDxfId="874" totalsRowDxfId="873" headerRowBorderDxfId="875" totalsRowBorderDxfId="872">
  <autoFilter ref="A78:D83" xr:uid="{BB8FB9C3-90C8-4A9B-94EA-89218C8670C2}"/>
  <tableColumns count="4">
    <tableColumn id="1" xr3:uid="{929E3DE0-7CC9-4FE0-AF88-44577A62D7F9}" name="Category" totalsRowLabel="Subtotal" dataDxfId="871" totalsRowDxfId="870"/>
    <tableColumn id="2" xr3:uid="{5AF009C1-3D2C-4685-9038-6701510915A9}" name="Projected _x000a_cost" totalsRowFunction="custom" dataDxfId="869" totalsRowDxfId="868">
      <totalsRowFormula>SUM(Pets195214227299[Projected 
cost])</totalsRowFormula>
    </tableColumn>
    <tableColumn id="3" xr3:uid="{D0127CCB-0C3B-4BEC-BB93-9D8A647CA7FF}" name="Actual _x000a_cost" totalsRowFunction="custom" dataDxfId="867" totalsRowDxfId="866">
      <totalsRowFormula>SUM(Pets195214227299[Actual 
cost])</totalsRowFormula>
    </tableColumn>
    <tableColumn id="4" xr3:uid="{FC98B839-E272-4732-83F0-7502DA3B2ED1}" name="Difference" totalsRowFunction="sum" dataDxfId="865" totalsRowDxfId="864">
      <calculatedColumnFormula>Pets195214227299[[#This Row],[Projected 
cost]]-Pets195214227299[[#This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9" xr:uid="{21954A56-4815-4F7F-ACAF-8CA0BBB449B2}" name="PersonalCare197215228300" displayName="PersonalCare197215228300" ref="A87:D95" totalsRowCount="1" headerRowDxfId="863" dataDxfId="861" totalsRowDxfId="860" headerRowBorderDxfId="862" totalsRowBorderDxfId="859">
  <autoFilter ref="A87:D94" xr:uid="{2CBFA43E-52CB-48F8-AA14-1E41A126831F}"/>
  <tableColumns count="4">
    <tableColumn id="1" xr3:uid="{D9F53BB0-DD35-4340-BDA0-FA0FB9296A63}" name="Category" totalsRowLabel="Subtotal" dataDxfId="858" totalsRowDxfId="857"/>
    <tableColumn id="2" xr3:uid="{4E1340C9-BBE6-4901-8C5F-B2AE2CCD0570}" name="Projected _x000a_cost" totalsRowFunction="custom" dataDxfId="856" totalsRowDxfId="855">
      <totalsRowFormula>SUM(PersonalCare197215228300[Projected 
cost])</totalsRowFormula>
    </tableColumn>
    <tableColumn id="3" xr3:uid="{0EFD2360-2FF7-41D7-89FE-654025BF9A3E}" name="Actual _x000a_cost" totalsRowFunction="custom" dataDxfId="854" totalsRowDxfId="853">
      <totalsRowFormula>SUM(PersonalCare197215228300[Actual 
cost])</totalsRowFormula>
    </tableColumn>
    <tableColumn id="4" xr3:uid="{BDCBAB31-6DEC-41BE-9E6B-349F16B3346A}" name="Difference" totalsRowFunction="sum" dataDxfId="852" totalsRowDxfId="851">
      <calculatedColumnFormula>PersonalCare197215228300[[#This Row],[Projected 
cost]]-PersonalCare197215228300[[#This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0" xr:uid="{E2683C99-42D6-481B-8540-4A6315688D64}" name="Legal198216229301" displayName="Legal198216229301" ref="F87:I92" totalsRowCount="1" headerRowDxfId="850" dataDxfId="848" totalsRowDxfId="847" headerRowBorderDxfId="849" totalsRowBorderDxfId="846">
  <autoFilter ref="F87:I91" xr:uid="{CE9CF11C-4460-46D8-B94F-D7DB1A431F85}"/>
  <tableColumns count="4">
    <tableColumn id="1" xr3:uid="{04E478C3-8C1C-47FE-A14D-57933A97C970}" name="Category" totalsRowLabel="Subtotal" dataDxfId="845" totalsRowDxfId="844"/>
    <tableColumn id="2" xr3:uid="{EE7AC921-512C-4B61-A575-72CC5C538FDF}" name="Projected _x000a_cost" totalsRowFunction="custom" dataDxfId="843" totalsRowDxfId="842">
      <totalsRowFormula>SUM(Legal198216229301[Projected 
cost])</totalsRowFormula>
    </tableColumn>
    <tableColumn id="3" xr3:uid="{97021EF6-118C-4B05-BF23-0CB89C5EC8F5}" name="Actual _x000a_cost" totalsRowFunction="custom" dataDxfId="841" totalsRowDxfId="840">
      <totalsRowFormula>SUM(Legal198216229301[Actual 
cost])</totalsRowFormula>
    </tableColumn>
    <tableColumn id="4" xr3:uid="{8DAA81CA-460C-462F-9DA7-421BEECAB018}" name="Difference" totalsRowFunction="sum" dataDxfId="839" totalsRowDxfId="838">
      <calculatedColumnFormula>Legal198216229301[[#This Row],[Projected 
cost]]-Legal198216229301[[#This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1" xr:uid="{4B94CDC1-D8E5-4B1C-8982-BB4EC4F7A95C}" name="Table176199217230302" displayName="Table176199217230302" ref="J52:J63" totalsRowShown="0" headerRowDxfId="837" dataDxfId="836">
  <autoFilter ref="J52:J63" xr:uid="{84D7483B-0AA3-443D-B077-CB614166CB8E}"/>
  <tableColumns count="1">
    <tableColumn id="1" xr3:uid="{4E7E20D8-F4C4-4B3E-B551-A0DC8B777253}" name="Total Amount Owed" dataDxfId="835"/>
  </tableColumns>
  <tableStyleInfo name="Address Book" showFirstColumn="0" showLastColumn="0" showRowStripes="1" showColumnStripes="0"/>
</table>
</file>

<file path=xl/tables/table1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7" xr:uid="{FE74D9C9-DDE7-475C-952D-B7EAFA8967E3}" name="Table1516116270274278282286368" displayName="Table1516116270274278282286368" ref="C3:E40" totalsRowShown="0" headerRowCellStyle="Currency" dataCellStyle="Currency">
  <autoFilter ref="C3:E40" xr:uid="{A2C35252-D38E-4A14-BF19-C14532D2BA19}"/>
  <tableColumns count="3">
    <tableColumn id="1" xr3:uid="{8015D1A7-E221-49FB-AB51-F0FAD86B511F}" name="Credit Card Balances " dataCellStyle="Currency">
      <calculatedColumnFormula>#REF!</calculatedColumnFormula>
    </tableColumn>
    <tableColumn id="2" xr3:uid="{D9F5C532-1F29-4942-9DA7-C227876FEF53}" name="Budgeted Amount" dataCellStyle="Currency"/>
    <tableColumn id="3" xr3:uid="{ACB3DA90-1A56-4B98-AE08-912FFA3CBFB0}" name="Interest" dataDxfId="834" dataCellStyle="Percent"/>
  </tableColumns>
  <tableStyleInfo name="TableStyleMedium2" showFirstColumn="0" showLastColumn="0" showRowStripes="1" showColumnStripes="0"/>
</table>
</file>

<file path=xl/tables/table1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8" xr:uid="{AB0125C7-C7AE-4870-A494-E4A38370DAA5}" name="Table17218271275279283287369" displayName="Table17218271275279283287369" ref="B3:B40" totalsRowShown="0" headerRowCellStyle="Currency" dataCellStyle="Currency">
  <autoFilter ref="B3:B40" xr:uid="{84E0FCCA-604E-4CFC-A3ED-829019A207A1}"/>
  <tableColumns count="1">
    <tableColumn id="1" xr3:uid="{B3090A37-117A-4A91-8530-245A5F0AFBC6}" name="Credit Card " dataCellStyle="Currency"/>
  </tableColumns>
  <tableStyleInfo name="TableStyleMedium2" showFirstColumn="0" showLastColumn="0" showRowStripes="1" showColumnStripes="0"/>
</table>
</file>

<file path=xl/tables/table1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9" xr:uid="{93192EE0-B00C-4C09-A28D-060930EDD245}" name="Table175200202174272276280284288370" displayName="Table175200202174272276280284288370" ref="B44:G65" totalsRowShown="0">
  <autoFilter ref="B44:G65" xr:uid="{22F8BEB6-9F00-4EC8-9EC9-8638209FE1D0}"/>
  <tableColumns count="6">
    <tableColumn id="1" xr3:uid="{435D34DB-D97E-499A-B8C6-58B5AF1C835A}" name="Lender"/>
    <tableColumn id="6" xr3:uid="{E9D3A57F-F833-43C8-954B-39DAD76E7EE7}" name="Loan Type"/>
    <tableColumn id="5" xr3:uid="{06BE8996-0439-4CA5-9C40-DED8FE60C634}" name="Loan Amount" dataCellStyle="Currency"/>
    <tableColumn id="2" xr3:uid="{2ABFD15E-E89D-4AC1-861F-DF58C9BD44A2}" name="Interest"/>
    <tableColumn id="3" xr3:uid="{4C89BCD8-A377-4021-A773-DFA3BD9DCAB2}" name="Budgeted Amount" dataCellStyle="Currency"/>
    <tableColumn id="4" xr3:uid="{34A4AA2A-6029-4E19-89E1-7D5A6D009CDA}" name="Link "/>
  </tableColumns>
  <tableStyleInfo name="TableStyleMedium2" showFirstColumn="0" showLastColumn="0" showRowStripes="1" showColumnStripes="0"/>
</table>
</file>

<file path=xl/tables/table1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0" xr:uid="{B2EBFA51-CE6F-4428-9114-D4865D706C94}" name="Table177273277281285289371" displayName="Table177273277281285289371" ref="F3:F41" totalsRowShown="0">
  <autoFilter ref="F3:F41" xr:uid="{521A51DA-26B2-4803-931E-53A3500E395A}"/>
  <tableColumns count="1">
    <tableColumn id="1" xr3:uid="{52D995C2-561D-447C-A99B-1CC24F930622}" name="Links"/>
  </tableColumns>
  <tableStyleInfo name="TableStyleMedium2" showFirstColumn="0" showLastColumn="0" showRowStripes="1" showColumnStripes="0"/>
</table>
</file>

<file path=xl/tables/table1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2" xr:uid="{CC0E6E8C-7840-4899-A7B6-28F29B3534BA}" name="Housing179205218290303" displayName="Housing179205218290303" ref="A38:D49" totalsRowCount="1" headerRowDxfId="833" dataDxfId="831" totalsRowDxfId="829" headerRowBorderDxfId="832" tableBorderDxfId="830" totalsRowBorderDxfId="828">
  <autoFilter ref="A38:D48" xr:uid="{EC273E32-6E66-412D-9274-02C7232B97EF}"/>
  <tableColumns count="4">
    <tableColumn id="1" xr3:uid="{3231C719-36D9-400B-B89B-0FC801BF0417}" name="Category" totalsRowLabel="Subtotal" dataDxfId="827" totalsRowDxfId="826"/>
    <tableColumn id="2" xr3:uid="{A2169EEB-FB98-45E5-A1C5-F0D39049B6C7}" name="Projected_x000a_cost" totalsRowFunction="custom" dataDxfId="825" totalsRowDxfId="824">
      <totalsRowFormula>SUM(Housing179205218290303[Projected
cost])</totalsRowFormula>
    </tableColumn>
    <tableColumn id="3" xr3:uid="{6C619575-F821-4697-BE81-A18B5D58EE2C}" name="Actual _x000a_cost" totalsRowFunction="custom" dataDxfId="823" totalsRowDxfId="822">
      <totalsRowFormula>SUM(Housing179205218290303[Actual 
cost])</totalsRowFormula>
    </tableColumn>
    <tableColumn id="4" xr3:uid="{9299BC04-A125-459A-B535-34B9DD834CD8}" name="Difference" totalsRowFunction="sum" dataDxfId="821" totalsRowDxfId="820"/>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1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3" xr:uid="{0235F7ED-3E25-47B4-8EB5-CF3C646F310F}" name="Entertainment180206219291304" displayName="Entertainment180206219291304" ref="F38:I48" totalsRowCount="1" headerRowDxfId="819" dataDxfId="817" totalsRowDxfId="815" headerRowBorderDxfId="818" tableBorderDxfId="816" totalsRowBorderDxfId="814" headerRowCellStyle="Normal">
  <autoFilter ref="F38:I47" xr:uid="{ABCD7A91-8B8E-4420-BB8E-404C23881506}"/>
  <tableColumns count="4">
    <tableColumn id="1" xr3:uid="{A8E87DDC-67AD-4175-AE64-9D1A01E2C5FC}" name="Category" totalsRowLabel="Subtotal" dataDxfId="813" totalsRowDxfId="812"/>
    <tableColumn id="2" xr3:uid="{2F0800D3-50C7-4FEC-8191-77C38D5BEBF1}" name="Projected _x000a_cost" totalsRowFunction="custom" dataDxfId="811" totalsRowDxfId="810">
      <totalsRowFormula>SUM(Entertainment180206219291304[Projected 
cost])</totalsRowFormula>
    </tableColumn>
    <tableColumn id="3" xr3:uid="{3B8BA76F-C9E9-47AD-A43C-8A2ACA40EC15}" name="Actual _x000a_cost" totalsRowFunction="custom" dataDxfId="809" totalsRowDxfId="808">
      <totalsRowFormula>SUM(Entertainment180206219291304[Actual 
cost])</totalsRowFormula>
    </tableColumn>
    <tableColumn id="4" xr3:uid="{F630C3F5-76F4-4E36-B7FA-ED6545DDA820}" name="Difference" totalsRowFunction="sum" dataDxfId="807" totalsRowDxfId="806">
      <calculatedColumnFormula>Entertainment180206219291304[[#This Row],[Projected 
cost]]-Entertainment180206219291304[[#This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1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4" xr:uid="{47DA0812-9327-4829-A28C-66D2B8F07C08}" name="Loans182207220292305" displayName="Loans182207220292305" ref="F52:I59" totalsRowCount="1" headerRowDxfId="805" dataDxfId="803" totalsRowDxfId="801" headerRowBorderDxfId="804" tableBorderDxfId="802" totalsRowBorderDxfId="800">
  <autoFilter ref="F52:I58" xr:uid="{46FC0980-1C10-4EC9-897C-D19A1567FFB4}"/>
  <tableColumns count="4">
    <tableColumn id="1" xr3:uid="{09E60213-47B7-4306-903A-3B65DDFB393C}" name="Category" totalsRowLabel="Subtotal" dataDxfId="799" totalsRowDxfId="798"/>
    <tableColumn id="2" xr3:uid="{61FDCA5D-97F7-4EB4-9D66-A87FE0DB9CAC}" name="Projected _x000a_cost" totalsRowFunction="custom" dataDxfId="797" totalsRowDxfId="796">
      <totalsRowFormula>SUM(Loans182207220292305[Projected 
cost])</totalsRowFormula>
    </tableColumn>
    <tableColumn id="3" xr3:uid="{3BB6232D-BD12-40F1-AFCD-A3261B62F469}" name="Actual _x000a_cost" totalsRowFunction="custom" dataDxfId="795" totalsRowDxfId="794">
      <totalsRowFormula>SUM(Loans182207220292305[Actual 
cost])</totalsRowFormula>
    </tableColumn>
    <tableColumn id="4" xr3:uid="{F171B562-C381-474A-BA1C-63F1CBFA2617}" name="Difference" totalsRowFunction="sum" dataDxfId="793" totalsRowDxfId="792">
      <calculatedColumnFormula>Loans182207220292305[[#This Row],[Projected 
cost]]-Loans182207220292305[[#This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1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5" xr:uid="{CB43498C-7C5D-4397-B924-11EEF1C8D4A3}" name="Transportation183208221293306" displayName="Transportation183208221293306" ref="A52:D60" totalsRowCount="1" headerRowDxfId="791" dataDxfId="789" totalsRowDxfId="787" headerRowBorderDxfId="790" tableBorderDxfId="788" totalsRowBorderDxfId="786">
  <autoFilter ref="A52:D59" xr:uid="{3791348C-6B86-4DC3-9AC7-E3294CB9F519}"/>
  <tableColumns count="4">
    <tableColumn id="1" xr3:uid="{03D2BB3B-E3B7-4D16-9987-CD82957DDEDD}" name="Category" totalsRowLabel="Subtotal" dataDxfId="785" totalsRowDxfId="784"/>
    <tableColumn id="2" xr3:uid="{4405DA78-6E94-4F5A-BA0C-3FD1DC0D9595}" name="Projected _x000a_cost" totalsRowFunction="custom" dataDxfId="783" totalsRowDxfId="782">
      <totalsRowFormula>SUM(Transportation183208221293306[Projected 
cost])</totalsRowFormula>
    </tableColumn>
    <tableColumn id="3" xr3:uid="{A74674CC-3BAB-4428-B4DF-B891839D7928}" name="Actual _x000a_cost" totalsRowFunction="custom" dataDxfId="781" totalsRowDxfId="780">
      <totalsRowFormula>SUM(Transportation183208221293306[Actual 
cost])</totalsRowFormula>
    </tableColumn>
    <tableColumn id="4" xr3:uid="{A25CC4B0-0D2E-4C8F-B0ED-DFEBEE0FB45B}" name="Difference" totalsRowFunction="sum" dataDxfId="779" totalsRowDxfId="778">
      <calculatedColumnFormula>Transportation183208221293306[[#This Row],[Projected 
cost]]-Transportation183208221293306[[#This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1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6" xr:uid="{EFA3D427-167A-49BB-8FE5-2A40BE422777}" name="Insurance185209222294307" displayName="Insurance185209222294307" ref="A63:D68" totalsRowCount="1" headerRowDxfId="777" dataDxfId="775" totalsRowDxfId="773" headerRowBorderDxfId="776" tableBorderDxfId="774" totalsRowBorderDxfId="772">
  <autoFilter ref="A63:D67" xr:uid="{97815EBA-35E4-46C9-99FC-9A9B6F57B9D9}"/>
  <tableColumns count="4">
    <tableColumn id="1" xr3:uid="{E206DFE6-75F9-49C3-A9F6-0A61EB6B450E}" name="Category" totalsRowLabel="Subtotal" dataDxfId="771" totalsRowDxfId="770"/>
    <tableColumn id="2" xr3:uid="{1F87ED3C-E8EE-4F1F-9F7F-A96BF936B677}" name="Projected_x000a_cost" totalsRowLabel="$0.00" dataDxfId="769" totalsRowDxfId="768"/>
    <tableColumn id="3" xr3:uid="{39E1F5FE-437A-4C2E-BE63-2184F3708196}" name="Actual _x000a_cost" totalsRowFunction="custom" dataDxfId="767" totalsRowDxfId="766">
      <totalsRowFormula>SUM(Insurance185209222294307[Actual 
cost])</totalsRowFormula>
    </tableColumn>
    <tableColumn id="4" xr3:uid="{63053277-230B-4004-9D79-D634891FC460}" name="Difference" totalsRowFunction="sum" dataDxfId="765" totalsRowDxfId="764">
      <calculatedColumnFormula>Insurance185209222294307[[#This Row],[Projected
cost]]-Insurance185209222294307[[#This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1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7" xr:uid="{FDDEA56A-3511-40B8-82A1-6C29078BD007}" name="Taxes187210223295308" displayName="Taxes187210223295308" ref="F63:I68" totalsRowCount="1" headerRowDxfId="763" dataDxfId="761" totalsRowDxfId="759" headerRowBorderDxfId="762" tableBorderDxfId="760" totalsRowBorderDxfId="758">
  <autoFilter ref="F63:I67" xr:uid="{41433824-9014-42A3-A455-96583DB291E2}"/>
  <tableColumns count="4">
    <tableColumn id="1" xr3:uid="{1E93AE9F-BF33-4B94-95F0-BBE98D72BFEB}" name="Category" totalsRowLabel="Subtotal" dataDxfId="757" totalsRowDxfId="756"/>
    <tableColumn id="2" xr3:uid="{0C997188-AD01-4FAB-AE8E-35BAC8DED73C}" name="Projected _x000a_cost" totalsRowFunction="custom" dataDxfId="755" totalsRowDxfId="754">
      <totalsRowFormula>SUM(Taxes187210223295308[Projected 
cost])</totalsRowFormula>
    </tableColumn>
    <tableColumn id="3" xr3:uid="{40D2801F-C3DA-4008-83E5-2EB578670CF5}" name="Actual _x000a_cost" totalsRowFunction="custom" dataDxfId="753" totalsRowDxfId="752">
      <totalsRowFormula>SUM(Taxes187210223295308[Actual 
cost])</totalsRowFormula>
    </tableColumn>
    <tableColumn id="4" xr3:uid="{C13F1FED-B5C1-41EB-8B90-B5855CB1F3F4}" name="Difference" totalsRowFunction="sum" dataDxfId="751" totalsRowDxfId="750">
      <calculatedColumnFormula>Taxes187210223295308[[#This Row],[Projected 
cost]]-Taxes187210223295308[[#This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1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8" xr:uid="{CA508924-8B7C-4665-B613-B84692783F37}" name="Savings189211224296309" displayName="Savings189211224296309" ref="F71:I75" totalsRowCount="1" headerRowDxfId="749" dataDxfId="747" totalsRowDxfId="746" headerRowBorderDxfId="748" totalsRowBorderDxfId="745">
  <autoFilter ref="F71:I74" xr:uid="{E1977D02-FD4F-4559-BAF7-ADB98963CB0F}"/>
  <tableColumns count="4">
    <tableColumn id="1" xr3:uid="{EE1353C2-8B0F-4C73-841B-DE0D6BD4DB0A}" name="Category" totalsRowLabel="Subtotal" dataDxfId="744" totalsRowDxfId="743"/>
    <tableColumn id="2" xr3:uid="{F302B43A-7FB0-406B-8A03-F888A466AE95}" name="Projected _x000a_cost" totalsRowFunction="custom" dataDxfId="742" totalsRowDxfId="741">
      <totalsRowFormula>SUM(Savings189211224296309[Projected 
cost])</totalsRowFormula>
    </tableColumn>
    <tableColumn id="3" xr3:uid="{BA46ECCE-751C-4031-8C5F-DAFC273EC5DF}" name="Actual _x000a_cost" totalsRowFunction="custom" dataDxfId="740" totalsRowDxfId="739">
      <totalsRowFormula>SUM(Savings189211224296309[Actual 
cost])</totalsRowFormula>
    </tableColumn>
    <tableColumn id="4" xr3:uid="{B1D99E28-255D-448A-8E47-6E0C3C358164}" name="Difference" totalsRowFunction="sum" dataDxfId="738" totalsRowDxfId="737">
      <calculatedColumnFormula>Savings189211224296309[[#This Row],[Projected 
cost]]-Savings189211224296309[[#This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9" xr:uid="{E1767B36-34D8-4E16-BCFB-0306666EDFF2}" name="Food191212225297310" displayName="Food191212225297310" ref="A71:D75" totalsRowCount="1" headerRowDxfId="736" dataDxfId="734" totalsRowDxfId="732" headerRowBorderDxfId="735" tableBorderDxfId="733" totalsRowBorderDxfId="731">
  <autoFilter ref="A71:D74" xr:uid="{752B363C-2D82-4416-B41B-450F9541E34C}"/>
  <tableColumns count="4">
    <tableColumn id="1" xr3:uid="{C83CBF54-A8C1-4E02-A83B-C32745A91724}" name="Category" totalsRowLabel="Subtotal" dataDxfId="730" totalsRowDxfId="729"/>
    <tableColumn id="2" xr3:uid="{0FD1C4DB-C3CC-4E66-BF65-1AACE442130A}" name="Projected _x000a_cost" totalsRowFunction="custom" dataDxfId="728" totalsRowDxfId="727">
      <totalsRowFormula>SUM(Food191212225297310[Projected 
cost])</totalsRowFormula>
    </tableColumn>
    <tableColumn id="3" xr3:uid="{7B70081E-3614-4623-8980-460F8F310322}" name="Actual _x000a_cost" totalsRowFunction="custom" dataDxfId="726" totalsRowDxfId="725">
      <totalsRowFormula>SUM(Food191212225297310[Actual 
cost])</totalsRowFormula>
    </tableColumn>
    <tableColumn id="4" xr3:uid="{2B6E6F62-675D-41D2-8F7F-33A6C9FAC111}" name="Difference" totalsRowFunction="sum" dataDxfId="724" totalsRowDxfId="723">
      <calculatedColumnFormula>Food191212225297310[[#This Row],[Projected 
cost]]-Food191212225297310[[#This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0" xr:uid="{E63BBA3B-3ECD-4EA2-808B-E3ACEA1AB319}" name="Gifts193213226298311" displayName="Gifts193213226298311" ref="F78:I82" totalsRowCount="1" headerRowDxfId="722" dataDxfId="720" totalsRowDxfId="719" headerRowBorderDxfId="721" totalsRowBorderDxfId="718">
  <autoFilter ref="F78:I81" xr:uid="{14E81561-7182-48EB-877C-1D3C0D007945}"/>
  <tableColumns count="4">
    <tableColumn id="1" xr3:uid="{5C4298CC-F60D-4209-A0B6-5CC38B1C3705}" name="Category" totalsRowLabel="Subtotal" dataDxfId="717" totalsRowDxfId="716"/>
    <tableColumn id="2" xr3:uid="{775D1EB7-790F-4383-A540-6C3EF8147071}" name="Projected _x000a_cost" totalsRowFunction="custom" dataDxfId="715" totalsRowDxfId="714">
      <totalsRowFormula>SUM(Gifts193213226298311[Projected 
cost])</totalsRowFormula>
    </tableColumn>
    <tableColumn id="3" xr3:uid="{E0F79D1A-3CDC-4431-9150-64526FA30E78}" name="Actual _x000a_cost" totalsRowFunction="custom" dataDxfId="713" totalsRowDxfId="712">
      <totalsRowFormula>SUM(Gifts193213226298311[Actual 
cost])</totalsRowFormula>
    </tableColumn>
    <tableColumn id="4" xr3:uid="{F2366F5C-BB72-4B77-A704-FCDC45C31427}" name="Difference" totalsRowFunction="sum" dataDxfId="711" totalsRowDxfId="710">
      <calculatedColumnFormula>Gifts193213226298311[[#This Row],[Projected 
cost]]-Gifts193213226298311[[#This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1" xr:uid="{1B609DF9-D3D5-4414-A69F-297CC6274088}" name="Pets195214227299312" displayName="Pets195214227299312" ref="A78:D84" totalsRowCount="1" headerRowDxfId="709" dataDxfId="707" totalsRowDxfId="706" headerRowBorderDxfId="708" totalsRowBorderDxfId="705">
  <autoFilter ref="A78:D83" xr:uid="{BB8FB9C3-90C8-4A9B-94EA-89218C8670C2}"/>
  <tableColumns count="4">
    <tableColumn id="1" xr3:uid="{54CFB050-9748-4AAD-BA48-746E44B583BD}" name="Category" totalsRowLabel="Subtotal" dataDxfId="704" totalsRowDxfId="703"/>
    <tableColumn id="2" xr3:uid="{F5C16E59-43D0-47EE-A438-2FC8678B76BB}" name="Projected _x000a_cost" totalsRowFunction="custom" dataDxfId="702" totalsRowDxfId="701">
      <totalsRowFormula>SUM(Pets195214227299312[Projected 
cost])</totalsRowFormula>
    </tableColumn>
    <tableColumn id="3" xr3:uid="{EE40889D-3464-4D20-9844-6F3DCE566684}" name="Actual _x000a_cost" totalsRowFunction="custom" dataDxfId="700" totalsRowDxfId="699">
      <totalsRowFormula>SUM(Pets195214227299312[Actual 
cost])</totalsRowFormula>
    </tableColumn>
    <tableColumn id="4" xr3:uid="{A2AD5361-AA4E-4A41-831D-DDCE565C98C1}" name="Difference" totalsRowFunction="sum" dataDxfId="698" totalsRowDxfId="697">
      <calculatedColumnFormula>Pets195214227299312[[#This Row],[Projected 
cost]]-Pets195214227299312[[#This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4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2" xr:uid="{14D9D0F1-557A-4867-8BEC-29E1FEDF4CF0}" name="PersonalCare197215228300313" displayName="PersonalCare197215228300313" ref="A87:D95" totalsRowCount="1" headerRowDxfId="696" dataDxfId="694" totalsRowDxfId="693" headerRowBorderDxfId="695" totalsRowBorderDxfId="692">
  <autoFilter ref="A87:D94" xr:uid="{2CBFA43E-52CB-48F8-AA14-1E41A126831F}"/>
  <tableColumns count="4">
    <tableColumn id="1" xr3:uid="{660A8BBB-83C3-4749-869F-9789517333C7}" name="Category" totalsRowLabel="Subtotal" dataDxfId="691" totalsRowDxfId="690"/>
    <tableColumn id="2" xr3:uid="{370371BD-91D3-433F-833C-7074E37518AE}" name="Projected _x000a_cost" totalsRowFunction="custom" dataDxfId="689" totalsRowDxfId="688">
      <totalsRowFormula>SUM(PersonalCare197215228300313[Projected 
cost])</totalsRowFormula>
    </tableColumn>
    <tableColumn id="3" xr3:uid="{9A3D996D-7D26-4D48-87C0-283F94D36951}" name="Actual _x000a_cost" totalsRowFunction="custom" dataDxfId="687" totalsRowDxfId="686">
      <totalsRowFormula>SUM(PersonalCare197215228300313[Actual 
cost])</totalsRowFormula>
    </tableColumn>
    <tableColumn id="4" xr3:uid="{875F08FD-26BA-4928-AD27-5ED92A8BAF72}" name="Difference" totalsRowFunction="sum" dataDxfId="685" totalsRowDxfId="684">
      <calculatedColumnFormula>PersonalCare197215228300313[[#This Row],[Projected 
cost]]-PersonalCare197215228300313[[#This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4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3" xr:uid="{5B625575-9443-46A1-B296-1E85A58C1748}" name="Legal198216229301314" displayName="Legal198216229301314" ref="F87:I92" totalsRowCount="1" headerRowDxfId="683" dataDxfId="681" totalsRowDxfId="680" headerRowBorderDxfId="682" totalsRowBorderDxfId="679">
  <autoFilter ref="F87:I91" xr:uid="{CE9CF11C-4460-46D8-B94F-D7DB1A431F85}"/>
  <tableColumns count="4">
    <tableColumn id="1" xr3:uid="{41B380F7-B033-4CAD-86E1-7DF14F966472}" name="Category" totalsRowLabel="Subtotal" dataDxfId="678" totalsRowDxfId="677"/>
    <tableColumn id="2" xr3:uid="{8A79A83B-495F-4CAF-8316-B0F0F387AA47}" name="Projected _x000a_cost" totalsRowFunction="custom" dataDxfId="676" totalsRowDxfId="675">
      <totalsRowFormula>SUM(Legal198216229301314[Projected 
cost])</totalsRowFormula>
    </tableColumn>
    <tableColumn id="3" xr3:uid="{F8461F26-E52D-468E-8EE4-D958BA359346}" name="Actual _x000a_cost" totalsRowFunction="custom" dataDxfId="674" totalsRowDxfId="673">
      <totalsRowFormula>SUM(Legal198216229301314[Actual 
cost])</totalsRowFormula>
    </tableColumn>
    <tableColumn id="4" xr3:uid="{4A14784F-230A-4C99-82F9-6E908638DD68}" name="Difference" totalsRowFunction="sum" dataDxfId="672" totalsRowDxfId="671">
      <calculatedColumnFormula>Legal198216229301314[[#This Row],[Projected 
cost]]-Legal198216229301314[[#This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5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4" xr:uid="{9D73208B-0157-4273-A339-691DE0D5CEBC}" name="Table176199217230302315" displayName="Table176199217230302315" ref="J52:J63" totalsRowShown="0" headerRowDxfId="670" dataDxfId="669">
  <autoFilter ref="J52:J63" xr:uid="{84D7483B-0AA3-443D-B077-CB614166CB8E}"/>
  <tableColumns count="1">
    <tableColumn id="1" xr3:uid="{C6C7475B-1004-4E4C-9E6F-E197DA8A5635}" name="Total Amount Owed" dataDxfId="668"/>
  </tableColumns>
  <tableStyleInfo name="Address Book" showFirstColumn="0" showLastColumn="0" showRowStripes="1" showColumnStripes="0"/>
</table>
</file>

<file path=xl/tables/table15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1" xr:uid="{DD9C5CA3-F951-475E-8E0D-62B1D24DDB45}" name="Table1516116270274278282286368372" displayName="Table1516116270274278282286368372" ref="C3:E40" totalsRowShown="0" headerRowCellStyle="Currency" dataCellStyle="Currency">
  <autoFilter ref="C3:E40" xr:uid="{A2C35252-D38E-4A14-BF19-C14532D2BA19}"/>
  <tableColumns count="3">
    <tableColumn id="1" xr3:uid="{2A4B6293-FDD2-43E0-9645-4848299ABCDC}" name="Credit Card Balances " dataCellStyle="Currency">
      <calculatedColumnFormula>#REF!</calculatedColumnFormula>
    </tableColumn>
    <tableColumn id="2" xr3:uid="{D616DFD6-17A5-46E0-8D86-F10F1E6A7AB9}" name="Budgeted Amount" dataCellStyle="Currency"/>
    <tableColumn id="3" xr3:uid="{EE483E58-4DE5-4C07-B24B-32D3F7F51937}" name="Interest" dataDxfId="667" dataCellStyle="Percent"/>
  </tableColumns>
  <tableStyleInfo name="TableStyleMedium2" showFirstColumn="0" showLastColumn="0" showRowStripes="1" showColumnStripes="0"/>
</table>
</file>

<file path=xl/tables/table15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2" xr:uid="{FD5A4288-664D-400F-9096-67E530203140}" name="Table17218271275279283287369373" displayName="Table17218271275279283287369373" ref="B3:B40" totalsRowShown="0" headerRowCellStyle="Currency" dataCellStyle="Currency">
  <autoFilter ref="B3:B40" xr:uid="{84E0FCCA-604E-4CFC-A3ED-829019A207A1}"/>
  <tableColumns count="1">
    <tableColumn id="1" xr3:uid="{FAEF8C01-4BDD-4A10-ADDC-B6E825E286D2}" name="Credit Card " dataCellStyle="Currency"/>
  </tableColumns>
  <tableStyleInfo name="TableStyleMedium2" showFirstColumn="0" showLastColumn="0" showRowStripes="1" showColumnStripes="0"/>
</table>
</file>

<file path=xl/tables/table15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3" xr:uid="{C7EDBBE5-EC10-4647-BE31-153968F83A89}" name="Table175200202174272276280284288370374" displayName="Table175200202174272276280284288370374" ref="B44:G65" totalsRowShown="0">
  <autoFilter ref="B44:G65" xr:uid="{22F8BEB6-9F00-4EC8-9EC9-8638209FE1D0}"/>
  <tableColumns count="6">
    <tableColumn id="1" xr3:uid="{C903D5BE-72F8-4B59-9EFE-66C82B6FCAD5}" name="Lender"/>
    <tableColumn id="6" xr3:uid="{4E429B9D-D8B0-4320-90AD-722EDB0293C3}" name="Loan Type"/>
    <tableColumn id="5" xr3:uid="{33A6FA1E-501A-4F7A-9165-D5A354805CD5}" name="Loan Amount" dataCellStyle="Currency"/>
    <tableColumn id="2" xr3:uid="{B766B0BB-225B-4008-9ACE-7FFA24EFCB91}" name="Interest"/>
    <tableColumn id="3" xr3:uid="{F2A8535C-ECDA-4C07-97C5-92FB742CA26B}" name="Budgeted Amount" dataCellStyle="Currency"/>
    <tableColumn id="4" xr3:uid="{0303A844-F19D-4101-B00B-F6353C739390}" name="Link "/>
  </tableColumns>
  <tableStyleInfo name="TableStyleMedium2" showFirstColumn="0" showLastColumn="0" showRowStripes="1" showColumnStripes="0"/>
</table>
</file>

<file path=xl/tables/table15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4" xr:uid="{330160B3-667D-48F2-904F-43F40F335695}" name="Table177273277281285289371375" displayName="Table177273277281285289371375" ref="F3:F41" totalsRowShown="0">
  <autoFilter ref="F3:F41" xr:uid="{521A51DA-26B2-4803-931E-53A3500E395A}"/>
  <tableColumns count="1">
    <tableColumn id="1" xr3:uid="{F7D658F1-48FF-4986-B7B7-2F70CC05807E}" name="Links"/>
  </tableColumns>
  <tableStyleInfo name="TableStyleMedium2" showFirstColumn="0" showLastColumn="0" showRowStripes="1" showColumnStripes="0"/>
</table>
</file>

<file path=xl/tables/table15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5" xr:uid="{9566BB81-94FB-427F-A4D1-BD1E6847F8AF}" name="Housing179205218290316" displayName="Housing179205218290316" ref="A38:D49" totalsRowCount="1" headerRowDxfId="666" dataDxfId="664" totalsRowDxfId="662" headerRowBorderDxfId="665" tableBorderDxfId="663" totalsRowBorderDxfId="661">
  <autoFilter ref="A38:D48" xr:uid="{EC273E32-6E66-412D-9274-02C7232B97EF}"/>
  <tableColumns count="4">
    <tableColumn id="1" xr3:uid="{C204CBDC-BC07-4E1B-9589-AE0EB0C12324}" name="Category" totalsRowLabel="Subtotal" dataDxfId="660" totalsRowDxfId="659"/>
    <tableColumn id="2" xr3:uid="{989E94FE-3DD4-4777-A2AA-8D7875FF52E1}" name="Projected_x000a_cost" totalsRowFunction="custom" dataDxfId="658" totalsRowDxfId="657">
      <totalsRowFormula>SUM(Housing179205218290316[Projected
cost])</totalsRowFormula>
    </tableColumn>
    <tableColumn id="3" xr3:uid="{F99EAA9B-6D82-4441-B6C8-2EB1991BB046}" name="Actual _x000a_cost" totalsRowFunction="custom" dataDxfId="656" totalsRowDxfId="655">
      <totalsRowFormula>SUM(Housing179205218290316[Actual 
cost])</totalsRowFormula>
    </tableColumn>
    <tableColumn id="4" xr3:uid="{B13C6F00-FAB2-44FA-9679-4F0D0FFC6C66}" name="Difference" totalsRowFunction="sum" dataDxfId="654" totalsRowDxfId="653"/>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15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6" xr:uid="{5BC8E104-FC1C-473C-A484-67D09A820A7A}" name="Entertainment180206219291317" displayName="Entertainment180206219291317" ref="F38:I48" totalsRowCount="1" headerRowDxfId="652" dataDxfId="650" totalsRowDxfId="648" headerRowBorderDxfId="651" tableBorderDxfId="649" totalsRowBorderDxfId="647" headerRowCellStyle="Normal">
  <autoFilter ref="F38:I47" xr:uid="{ABCD7A91-8B8E-4420-BB8E-404C23881506}"/>
  <tableColumns count="4">
    <tableColumn id="1" xr3:uid="{07A72B5D-9A89-489E-ABF4-86E69892BF37}" name="Category" totalsRowLabel="Subtotal" dataDxfId="646" totalsRowDxfId="645"/>
    <tableColumn id="2" xr3:uid="{D7DB7409-DCA7-413C-80CA-39AFB96D48E9}" name="Projected _x000a_cost" totalsRowFunction="custom" dataDxfId="644" totalsRowDxfId="643">
      <totalsRowFormula>SUM(Entertainment180206219291317[Projected 
cost])</totalsRowFormula>
    </tableColumn>
    <tableColumn id="3" xr3:uid="{F2D55C8F-FE0D-4D3E-BF07-97EAC517ADB3}" name="Actual _x000a_cost" totalsRowFunction="custom" dataDxfId="642" totalsRowDxfId="641">
      <totalsRowFormula>SUM(Entertainment180206219291317[Actual 
cost])</totalsRowFormula>
    </tableColumn>
    <tableColumn id="4" xr3:uid="{4D6FD6A4-9E54-454B-9F82-16BCFCEBDBBB}" name="Difference" totalsRowFunction="sum" dataDxfId="640" totalsRowDxfId="639">
      <calculatedColumnFormula>Entertainment180206219291317[[#This Row],[Projected 
cost]]-Entertainment180206219291317[[#This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15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7" xr:uid="{4A05EF3D-74ED-4531-B0A5-8C2130B121C6}" name="Loans182207220292318" displayName="Loans182207220292318" ref="F52:I59" totalsRowCount="1" headerRowDxfId="638" dataDxfId="636" totalsRowDxfId="634" headerRowBorderDxfId="637" tableBorderDxfId="635" totalsRowBorderDxfId="633">
  <autoFilter ref="F52:I58" xr:uid="{46FC0980-1C10-4EC9-897C-D19A1567FFB4}"/>
  <tableColumns count="4">
    <tableColumn id="1" xr3:uid="{9A04856D-9B5E-483A-8D39-08A95006D376}" name="Category" totalsRowLabel="Subtotal" dataDxfId="632" totalsRowDxfId="631"/>
    <tableColumn id="2" xr3:uid="{E6001D22-6EF3-447B-AB51-1A6765902280}" name="Projected _x000a_cost" totalsRowFunction="custom" dataDxfId="630" totalsRowDxfId="629">
      <totalsRowFormula>SUM(Loans182207220292318[Projected 
cost])</totalsRowFormula>
    </tableColumn>
    <tableColumn id="3" xr3:uid="{DB728A3E-9FF0-4022-8330-9456CCADC542}" name="Actual _x000a_cost" totalsRowFunction="custom" dataDxfId="628" totalsRowDxfId="627">
      <totalsRowFormula>SUM(Loans182207220292318[Actual 
cost])</totalsRowFormula>
    </tableColumn>
    <tableColumn id="4" xr3:uid="{C4881D6C-35F4-479D-8CFB-A303A84508FA}" name="Difference" totalsRowFunction="sum" dataDxfId="626" totalsRowDxfId="625">
      <calculatedColumnFormula>Loans182207220292318[[#This Row],[Projected 
cost]]-Loans182207220292318[[#This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15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8" xr:uid="{CB7B1693-CAB2-4D5D-9932-417779A1FF66}" name="Transportation183208221293319" displayName="Transportation183208221293319" ref="A52:D60" totalsRowCount="1" headerRowDxfId="624" dataDxfId="622" totalsRowDxfId="620" headerRowBorderDxfId="623" tableBorderDxfId="621" totalsRowBorderDxfId="619">
  <autoFilter ref="A52:D59" xr:uid="{3791348C-6B86-4DC3-9AC7-E3294CB9F519}"/>
  <tableColumns count="4">
    <tableColumn id="1" xr3:uid="{DDDCA2F8-FED1-4A93-A57C-2319DE6D61EE}" name="Category" totalsRowLabel="Subtotal" dataDxfId="618" totalsRowDxfId="617"/>
    <tableColumn id="2" xr3:uid="{15B21828-0419-413D-9FB9-A0DAAA1364E1}" name="Projected _x000a_cost" totalsRowFunction="custom" dataDxfId="616" totalsRowDxfId="615">
      <totalsRowFormula>SUM(Transportation183208221293319[Projected 
cost])</totalsRowFormula>
    </tableColumn>
    <tableColumn id="3" xr3:uid="{F6999416-53D8-4D57-9D9F-952BBCDDB9A2}" name="Actual _x000a_cost" totalsRowFunction="custom" dataDxfId="614" totalsRowDxfId="613">
      <totalsRowFormula>SUM(Transportation183208221293319[Actual 
cost])</totalsRowFormula>
    </tableColumn>
    <tableColumn id="4" xr3:uid="{D9EE2DF5-1259-4F7D-B78D-BD7E56F309EB}" name="Difference" totalsRowFunction="sum" dataDxfId="612" totalsRowDxfId="611">
      <calculatedColumnFormula>Transportation183208221293319[[#This Row],[Projected 
cost]]-Transportation183208221293319[[#This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15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9" xr:uid="{B4B64D52-E4B9-4BFC-9988-E6DE97C444D6}" name="Insurance185209222294320" displayName="Insurance185209222294320" ref="A63:D68" totalsRowCount="1" headerRowDxfId="610" dataDxfId="608" totalsRowDxfId="606" headerRowBorderDxfId="609" tableBorderDxfId="607" totalsRowBorderDxfId="605">
  <autoFilter ref="A63:D67" xr:uid="{97815EBA-35E4-46C9-99FC-9A9B6F57B9D9}"/>
  <tableColumns count="4">
    <tableColumn id="1" xr3:uid="{266A5A20-43E0-4756-87C7-CE0ADC7F0B48}" name="Category" totalsRowLabel="Subtotal" dataDxfId="604" totalsRowDxfId="603"/>
    <tableColumn id="2" xr3:uid="{CEF6816B-4EE8-4490-907C-7C395C460EA0}" name="Projected_x000a_cost" totalsRowLabel="$0.00" dataDxfId="602" totalsRowDxfId="601"/>
    <tableColumn id="3" xr3:uid="{67C6389B-8E0A-404D-9243-06400E33F4B8}" name="Actual _x000a_cost" totalsRowFunction="custom" dataDxfId="600" totalsRowDxfId="599">
      <totalsRowFormula>SUM(Insurance185209222294320[Actual 
cost])</totalsRowFormula>
    </tableColumn>
    <tableColumn id="4" xr3:uid="{EE1485AA-8961-468B-8777-AD4012851A38}" name="Difference" totalsRowFunction="sum" dataDxfId="598" totalsRowDxfId="597">
      <calculatedColumnFormula>Insurance185209222294320[[#This Row],[Projected
cost]]-Insurance185209222294320[[#This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16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0" xr:uid="{310CFED8-209F-4243-A0D2-A11E74EC71BC}" name="Taxes187210223295321" displayName="Taxes187210223295321" ref="F63:I68" totalsRowCount="1" headerRowDxfId="596" dataDxfId="594" totalsRowDxfId="592" headerRowBorderDxfId="595" tableBorderDxfId="593" totalsRowBorderDxfId="591">
  <autoFilter ref="F63:I67" xr:uid="{41433824-9014-42A3-A455-96583DB291E2}"/>
  <tableColumns count="4">
    <tableColumn id="1" xr3:uid="{AD9A25E9-7435-47D7-AFB0-1B069DA2B5FE}" name="Category" totalsRowLabel="Subtotal" dataDxfId="590" totalsRowDxfId="589"/>
    <tableColumn id="2" xr3:uid="{18F83CCF-6741-432F-BD59-4B0547D70A22}" name="Projected _x000a_cost" totalsRowFunction="custom" dataDxfId="588" totalsRowDxfId="587">
      <totalsRowFormula>SUM(Taxes187210223295321[Projected 
cost])</totalsRowFormula>
    </tableColumn>
    <tableColumn id="3" xr3:uid="{FBCA7967-C2C3-4377-88CE-060F65012451}" name="Actual _x000a_cost" totalsRowFunction="custom" dataDxfId="586" totalsRowDxfId="585">
      <totalsRowFormula>SUM(Taxes187210223295321[Actual 
cost])</totalsRowFormula>
    </tableColumn>
    <tableColumn id="4" xr3:uid="{0A136701-AEEC-4ED4-8606-0B4A2161EF10}" name="Difference" totalsRowFunction="sum" dataDxfId="584" totalsRowDxfId="583">
      <calculatedColumnFormula>Taxes187210223295321[[#This Row],[Projected 
cost]]-Taxes187210223295321[[#This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16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1" xr:uid="{F6CF7886-B14C-4369-8830-7A0A7FD6ECA7}" name="Savings189211224296322" displayName="Savings189211224296322" ref="F71:I75" totalsRowCount="1" headerRowDxfId="582" dataDxfId="580" totalsRowDxfId="579" headerRowBorderDxfId="581" totalsRowBorderDxfId="578">
  <autoFilter ref="F71:I74" xr:uid="{E1977D02-FD4F-4559-BAF7-ADB98963CB0F}"/>
  <tableColumns count="4">
    <tableColumn id="1" xr3:uid="{4FA9A1A0-7D2E-4455-A3A8-ED40D6A03044}" name="Category" totalsRowLabel="Subtotal" dataDxfId="577" totalsRowDxfId="576"/>
    <tableColumn id="2" xr3:uid="{71315A6F-5EFA-429D-8F51-11FD667907CE}" name="Projected _x000a_cost" totalsRowFunction="custom" dataDxfId="575" totalsRowDxfId="574">
      <totalsRowFormula>SUM(Savings189211224296322[Projected 
cost])</totalsRowFormula>
    </tableColumn>
    <tableColumn id="3" xr3:uid="{44D519DC-DFF5-4BD2-890A-DF9E335C35FA}" name="Actual _x000a_cost" totalsRowFunction="custom" dataDxfId="573" totalsRowDxfId="572">
      <totalsRowFormula>SUM(Savings189211224296322[Actual 
cost])</totalsRowFormula>
    </tableColumn>
    <tableColumn id="4" xr3:uid="{20D4EB18-2ADF-4541-AF04-B4E656EAE401}" name="Difference" totalsRowFunction="sum" dataDxfId="571" totalsRowDxfId="570">
      <calculatedColumnFormula>Savings189211224296322[[#This Row],[Projected 
cost]]-Savings189211224296322[[#This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6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2" xr:uid="{748B5171-547E-4157-AC3E-7AE45047A388}" name="Food191212225297323" displayName="Food191212225297323" ref="A71:D75" totalsRowCount="1" headerRowDxfId="569" dataDxfId="567" totalsRowDxfId="565" headerRowBorderDxfId="568" tableBorderDxfId="566" totalsRowBorderDxfId="564">
  <autoFilter ref="A71:D74" xr:uid="{752B363C-2D82-4416-B41B-450F9541E34C}"/>
  <tableColumns count="4">
    <tableColumn id="1" xr3:uid="{17D3DF03-3194-4401-BB92-92ADE5535304}" name="Category" totalsRowLabel="Subtotal" dataDxfId="563" totalsRowDxfId="562"/>
    <tableColumn id="2" xr3:uid="{7844B6C8-70AC-4FEE-B257-4FDDF7E18261}" name="Projected _x000a_cost" totalsRowFunction="custom" dataDxfId="561" totalsRowDxfId="560">
      <totalsRowFormula>SUM(Food191212225297323[Projected 
cost])</totalsRowFormula>
    </tableColumn>
    <tableColumn id="3" xr3:uid="{3324168C-131E-4163-9DDD-2691622BB838}" name="Actual _x000a_cost" totalsRowFunction="custom" dataDxfId="559" totalsRowDxfId="558">
      <totalsRowFormula>SUM(Food191212225297323[Actual 
cost])</totalsRowFormula>
    </tableColumn>
    <tableColumn id="4" xr3:uid="{E9F38C2A-9196-41FB-AB91-71CCEE7F3916}" name="Difference" totalsRowFunction="sum" dataDxfId="557" totalsRowDxfId="556">
      <calculatedColumnFormula>Food191212225297323[[#This Row],[Projected 
cost]]-Food191212225297323[[#This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6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3" xr:uid="{150F8E70-311D-4F75-9F24-615BBDE6EAB9}" name="Gifts193213226298324" displayName="Gifts193213226298324" ref="F78:I82" totalsRowCount="1" headerRowDxfId="555" dataDxfId="553" totalsRowDxfId="552" headerRowBorderDxfId="554" totalsRowBorderDxfId="551">
  <autoFilter ref="F78:I81" xr:uid="{14E81561-7182-48EB-877C-1D3C0D007945}"/>
  <tableColumns count="4">
    <tableColumn id="1" xr3:uid="{CD04D1FE-8855-440F-A06C-E20E08EB0368}" name="Category" totalsRowLabel="Subtotal" dataDxfId="550" totalsRowDxfId="549"/>
    <tableColumn id="2" xr3:uid="{B872038F-1714-4468-8E93-B04DD7342263}" name="Projected _x000a_cost" totalsRowFunction="custom" dataDxfId="548" totalsRowDxfId="547">
      <totalsRowFormula>SUM(Gifts193213226298324[Projected 
cost])</totalsRowFormula>
    </tableColumn>
    <tableColumn id="3" xr3:uid="{CD43B16B-53B6-4233-9738-068A722CA109}" name="Actual _x000a_cost" totalsRowFunction="custom" dataDxfId="546" totalsRowDxfId="545">
      <totalsRowFormula>SUM(Gifts193213226298324[Actual 
cost])</totalsRowFormula>
    </tableColumn>
    <tableColumn id="4" xr3:uid="{72F9AB57-4E6B-4FA8-BF76-38F1C4217096}" name="Difference" totalsRowFunction="sum" dataDxfId="544" totalsRowDxfId="543">
      <calculatedColumnFormula>Gifts193213226298324[[#This Row],[Projected 
cost]]-Gifts193213226298324[[#This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6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4" xr:uid="{CFAD4150-AA0A-407B-94A1-C128480DDA93}" name="Pets195214227299325" displayName="Pets195214227299325" ref="A78:D84" totalsRowCount="1" headerRowDxfId="542" dataDxfId="540" totalsRowDxfId="539" headerRowBorderDxfId="541" totalsRowBorderDxfId="538">
  <autoFilter ref="A78:D83" xr:uid="{BB8FB9C3-90C8-4A9B-94EA-89218C8670C2}"/>
  <tableColumns count="4">
    <tableColumn id="1" xr3:uid="{D82C4A50-6E5C-422F-9BEC-9ED6579E2167}" name="Category" totalsRowLabel="Subtotal" dataDxfId="537" totalsRowDxfId="536"/>
    <tableColumn id="2" xr3:uid="{B6508042-2598-441D-992A-B602D6A35D8A}" name="Projected _x000a_cost" totalsRowFunction="custom" dataDxfId="535" totalsRowDxfId="534">
      <totalsRowFormula>SUM(Pets195214227299325[Projected 
cost])</totalsRowFormula>
    </tableColumn>
    <tableColumn id="3" xr3:uid="{16BFD527-A694-4EC1-8A9A-0FD953A076CE}" name="Actual _x000a_cost" totalsRowFunction="custom" dataDxfId="533" totalsRowDxfId="532">
      <totalsRowFormula>SUM(Pets195214227299325[Actual 
cost])</totalsRowFormula>
    </tableColumn>
    <tableColumn id="4" xr3:uid="{DE79362B-5987-4114-A10E-693511AC27EB}" name="Difference" totalsRowFunction="sum" dataDxfId="531" totalsRowDxfId="530">
      <calculatedColumnFormula>Pets195214227299325[[#This Row],[Projected 
cost]]-Pets195214227299325[[#This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6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5" xr:uid="{18B260B7-1125-4D2D-8846-A197FFF44A8C}" name="PersonalCare197215228300326" displayName="PersonalCare197215228300326" ref="A87:D95" totalsRowCount="1" headerRowDxfId="529" dataDxfId="527" totalsRowDxfId="526" headerRowBorderDxfId="528" totalsRowBorderDxfId="525">
  <autoFilter ref="A87:D94" xr:uid="{2CBFA43E-52CB-48F8-AA14-1E41A126831F}"/>
  <tableColumns count="4">
    <tableColumn id="1" xr3:uid="{08E7ADA1-A76D-42A3-9352-B290FCCCA7AE}" name="Category" totalsRowLabel="Subtotal" dataDxfId="524" totalsRowDxfId="523"/>
    <tableColumn id="2" xr3:uid="{813DD0D6-C0D8-4570-971E-7F9EEB14C89A}" name="Projected _x000a_cost" totalsRowFunction="custom" dataDxfId="522" totalsRowDxfId="521">
      <totalsRowFormula>SUM(PersonalCare197215228300326[Projected 
cost])</totalsRowFormula>
    </tableColumn>
    <tableColumn id="3" xr3:uid="{E50C3954-219F-4C09-B1FD-129749388F2D}" name="Actual _x000a_cost" totalsRowFunction="custom" dataDxfId="520" totalsRowDxfId="519">
      <totalsRowFormula>SUM(PersonalCare197215228300326[Actual 
cost])</totalsRowFormula>
    </tableColumn>
    <tableColumn id="4" xr3:uid="{68DE9149-9EE4-47F7-AE33-036F9C81DF9E}" name="Difference" totalsRowFunction="sum" dataDxfId="518" totalsRowDxfId="517">
      <calculatedColumnFormula>PersonalCare197215228300326[[#This Row],[Projected 
cost]]-PersonalCare197215228300326[[#This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6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6" xr:uid="{C4A6773B-1D11-4012-AD5C-313FE6187CCF}" name="Legal198216229301327" displayName="Legal198216229301327" ref="F87:I92" totalsRowCount="1" headerRowDxfId="516" dataDxfId="514" totalsRowDxfId="513" headerRowBorderDxfId="515" totalsRowBorderDxfId="512">
  <autoFilter ref="F87:I91" xr:uid="{CE9CF11C-4460-46D8-B94F-D7DB1A431F85}"/>
  <tableColumns count="4">
    <tableColumn id="1" xr3:uid="{5EE71E3E-AD3F-46B2-A3A2-8F9FB84C583C}" name="Category" totalsRowLabel="Subtotal" dataDxfId="511" totalsRowDxfId="510"/>
    <tableColumn id="2" xr3:uid="{D1C88BE5-7A7D-48AF-B0F0-F15C09E25919}" name="Projected _x000a_cost" totalsRowFunction="custom" dataDxfId="509" totalsRowDxfId="508">
      <totalsRowFormula>SUM(Legal198216229301327[Projected 
cost])</totalsRowFormula>
    </tableColumn>
    <tableColumn id="3" xr3:uid="{AC32E446-41AB-40AD-89F7-12DDE6D06FF4}" name="Actual _x000a_cost" totalsRowFunction="custom" dataDxfId="507" totalsRowDxfId="506">
      <totalsRowFormula>SUM(Legal198216229301327[Actual 
cost])</totalsRowFormula>
    </tableColumn>
    <tableColumn id="4" xr3:uid="{49DCCD95-51CC-4A04-9E01-98EA998E0C22}" name="Difference" totalsRowFunction="sum" dataDxfId="505" totalsRowDxfId="504">
      <calculatedColumnFormula>Legal198216229301327[[#This Row],[Projected 
cost]]-Legal198216229301327[[#This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6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7" xr:uid="{9E56DA96-C424-4537-B406-FD250C6B5E96}" name="Table176199217230302328" displayName="Table176199217230302328" ref="J52:J63" totalsRowShown="0" headerRowDxfId="503" dataDxfId="502">
  <autoFilter ref="J52:J63" xr:uid="{84D7483B-0AA3-443D-B077-CB614166CB8E}"/>
  <tableColumns count="1">
    <tableColumn id="1" xr3:uid="{5BD75857-49AE-4B7C-8FBB-6D37CAFE24E1}" name="Total Amount Owed" dataDxfId="501"/>
  </tableColumns>
  <tableStyleInfo name="Address Book" showFirstColumn="0" showLastColumn="0" showRowStripes="1" showColumnStripes="0"/>
</table>
</file>

<file path=xl/tables/table16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8" xr:uid="{64963C9B-2EF7-44F8-AE4D-4F111320D37B}" name="Housing179205218290329" displayName="Housing179205218290329" ref="A38:D49" totalsRowCount="1" headerRowDxfId="500" dataDxfId="498" totalsRowDxfId="496" headerRowBorderDxfId="499" tableBorderDxfId="497" totalsRowBorderDxfId="495">
  <autoFilter ref="A38:D48" xr:uid="{EC273E32-6E66-412D-9274-02C7232B97EF}"/>
  <tableColumns count="4">
    <tableColumn id="1" xr3:uid="{5CFBDD65-3A7A-4E82-A17B-C53BC54B7B8C}" name="Category" totalsRowLabel="Subtotal" dataDxfId="494" totalsRowDxfId="493"/>
    <tableColumn id="2" xr3:uid="{5654CC07-0CF8-4A23-BD27-87D2FBC768A8}" name="Projected_x000a_cost" totalsRowFunction="custom" dataDxfId="492" totalsRowDxfId="491">
      <totalsRowFormula>SUM(Housing179205218290329[Projected
cost])</totalsRowFormula>
    </tableColumn>
    <tableColumn id="3" xr3:uid="{B61E44F5-6DB0-44A1-B50D-06C9DB14ADD4}" name="Actual _x000a_cost" totalsRowFunction="custom" dataDxfId="490" totalsRowDxfId="489">
      <totalsRowFormula>SUM(Housing179205218290329[Actual 
cost])</totalsRowFormula>
    </tableColumn>
    <tableColumn id="4" xr3:uid="{3316EC8A-86DB-4B35-80FE-1C0E3A84E939}" name="Difference" totalsRowFunction="sum" dataDxfId="488" totalsRowDxfId="487"/>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16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9" xr:uid="{2AEFBF85-6F3F-4B21-BB51-64A118935054}" name="Entertainment180206219291330" displayName="Entertainment180206219291330" ref="F38:I48" totalsRowCount="1" headerRowDxfId="486" dataDxfId="484" totalsRowDxfId="482" headerRowBorderDxfId="485" tableBorderDxfId="483" totalsRowBorderDxfId="481" headerRowCellStyle="Normal">
  <autoFilter ref="F38:I47" xr:uid="{ABCD7A91-8B8E-4420-BB8E-404C23881506}"/>
  <tableColumns count="4">
    <tableColumn id="1" xr3:uid="{7426B896-FC43-4773-97B3-5FAFBBE4C7EA}" name="Category" totalsRowLabel="Subtotal" dataDxfId="480" totalsRowDxfId="479"/>
    <tableColumn id="2" xr3:uid="{9AFED9B5-0A84-4904-A8B9-82B27CFF54A9}" name="Projected _x000a_cost" totalsRowFunction="custom" dataDxfId="478" totalsRowDxfId="477">
      <totalsRowFormula>SUM(Entertainment180206219291330[Projected 
cost])</totalsRowFormula>
    </tableColumn>
    <tableColumn id="3" xr3:uid="{E2798D30-1DF5-49C7-8FB4-A620BE2A973D}" name="Actual _x000a_cost" totalsRowFunction="custom" dataDxfId="476" totalsRowDxfId="475">
      <totalsRowFormula>SUM(Entertainment180206219291330[Actual 
cost])</totalsRowFormula>
    </tableColumn>
    <tableColumn id="4" xr3:uid="{2C78F751-4D6D-4FC0-BF3E-2584FF89B466}" name="Difference" totalsRowFunction="sum" dataDxfId="474" totalsRowDxfId="473">
      <calculatedColumnFormula>Entertainment180206219291330[[#This Row],[Projected 
cost]]-Entertainment180206219291330[[#This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17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0" xr:uid="{78F398D9-17DB-4C44-80B4-59FE80DD3E78}" name="Loans182207220292331" displayName="Loans182207220292331" ref="F52:I59" totalsRowCount="1" headerRowDxfId="472" dataDxfId="470" totalsRowDxfId="468" headerRowBorderDxfId="471" tableBorderDxfId="469" totalsRowBorderDxfId="467">
  <autoFilter ref="F52:I58" xr:uid="{46FC0980-1C10-4EC9-897C-D19A1567FFB4}"/>
  <tableColumns count="4">
    <tableColumn id="1" xr3:uid="{06928CB8-2FBA-4767-9CD0-CB07D5EF9766}" name="Category" totalsRowLabel="Subtotal" dataDxfId="466" totalsRowDxfId="465"/>
    <tableColumn id="2" xr3:uid="{FA0E1CC0-273D-4799-AA3E-70E55CC461C2}" name="Projected _x000a_cost" totalsRowFunction="custom" dataDxfId="464" totalsRowDxfId="463">
      <totalsRowFormula>SUM(Loans182207220292331[Projected 
cost])</totalsRowFormula>
    </tableColumn>
    <tableColumn id="3" xr3:uid="{C5C731C7-3B89-4FB7-87A7-F913324D418D}" name="Actual _x000a_cost" totalsRowFunction="custom" dataDxfId="462" totalsRowDxfId="461">
      <totalsRowFormula>SUM(Loans182207220292331[Actual 
cost])</totalsRowFormula>
    </tableColumn>
    <tableColumn id="4" xr3:uid="{7EEE0933-DE45-4D1B-9038-1898CD65250B}" name="Difference" totalsRowFunction="sum" dataDxfId="460" totalsRowDxfId="459">
      <calculatedColumnFormula>Loans182207220292331[[#This Row],[Projected 
cost]]-Loans182207220292331[[#This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17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1" xr:uid="{F1EEDFDD-A702-4CEA-ACE2-F472C99A9938}" name="Transportation183208221293332" displayName="Transportation183208221293332" ref="A52:D60" totalsRowCount="1" headerRowDxfId="458" dataDxfId="456" totalsRowDxfId="454" headerRowBorderDxfId="457" tableBorderDxfId="455" totalsRowBorderDxfId="453">
  <autoFilter ref="A52:D59" xr:uid="{3791348C-6B86-4DC3-9AC7-E3294CB9F519}"/>
  <tableColumns count="4">
    <tableColumn id="1" xr3:uid="{23D5435D-B11D-4DE7-B3A6-39ED7DC4112F}" name="Category" totalsRowLabel="Subtotal" dataDxfId="452" totalsRowDxfId="451"/>
    <tableColumn id="2" xr3:uid="{88B866E2-E0F4-4C02-9C49-0AEC73F232E6}" name="Projected _x000a_cost" totalsRowFunction="custom" dataDxfId="450" totalsRowDxfId="449">
      <totalsRowFormula>SUM(Transportation183208221293332[Projected 
cost])</totalsRowFormula>
    </tableColumn>
    <tableColumn id="3" xr3:uid="{06E7B40A-63A8-45DD-9C9C-EAA1EB6CA5B9}" name="Actual _x000a_cost" totalsRowFunction="custom" dataDxfId="448" totalsRowDxfId="447">
      <totalsRowFormula>SUM(Transportation183208221293332[Actual 
cost])</totalsRowFormula>
    </tableColumn>
    <tableColumn id="4" xr3:uid="{5E8A8F50-F3F3-4CE3-AD9B-CB36295B010A}" name="Difference" totalsRowFunction="sum" dataDxfId="446" totalsRowDxfId="445">
      <calculatedColumnFormula>Transportation183208221293332[[#This Row],[Projected 
cost]]-Transportation183208221293332[[#This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17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2" xr:uid="{343588C1-A8FF-4474-8100-63F8A496E068}" name="Insurance185209222294333" displayName="Insurance185209222294333" ref="A63:D68" totalsRowCount="1" headerRowDxfId="444" dataDxfId="442" totalsRowDxfId="440" headerRowBorderDxfId="443" tableBorderDxfId="441" totalsRowBorderDxfId="439">
  <autoFilter ref="A63:D67" xr:uid="{97815EBA-35E4-46C9-99FC-9A9B6F57B9D9}"/>
  <tableColumns count="4">
    <tableColumn id="1" xr3:uid="{55456EE5-B5FA-4270-90B6-B39E76668244}" name="Category" totalsRowLabel="Subtotal" dataDxfId="438" totalsRowDxfId="437"/>
    <tableColumn id="2" xr3:uid="{08FF1B1C-0897-4837-B03F-F18C8CB71942}" name="Projected_x000a_cost" totalsRowLabel="$0.00" dataDxfId="436" totalsRowDxfId="435"/>
    <tableColumn id="3" xr3:uid="{2BF25248-040B-4A66-954C-628FDB97A56F}" name="Actual _x000a_cost" totalsRowFunction="custom" dataDxfId="434" totalsRowDxfId="433">
      <totalsRowFormula>SUM(Insurance185209222294333[Actual 
cost])</totalsRowFormula>
    </tableColumn>
    <tableColumn id="4" xr3:uid="{A8146225-FDE3-4D5B-95B5-F212918CEB26}" name="Difference" totalsRowFunction="sum" dataDxfId="432" totalsRowDxfId="431">
      <calculatedColumnFormula>Insurance185209222294333[[#This Row],[Projected
cost]]-Insurance185209222294333[[#This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17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3" xr:uid="{BF6BA3BC-0F30-4535-9AF6-2A8FA8A322EE}" name="Taxes187210223295334" displayName="Taxes187210223295334" ref="F63:I68" totalsRowCount="1" headerRowDxfId="430" dataDxfId="428" totalsRowDxfId="426" headerRowBorderDxfId="429" tableBorderDxfId="427" totalsRowBorderDxfId="425">
  <autoFilter ref="F63:I67" xr:uid="{41433824-9014-42A3-A455-96583DB291E2}"/>
  <tableColumns count="4">
    <tableColumn id="1" xr3:uid="{6D70374F-8759-4DF0-A5B7-8FAAFA90487C}" name="Category" totalsRowLabel="Subtotal" dataDxfId="424" totalsRowDxfId="423"/>
    <tableColumn id="2" xr3:uid="{49B284D2-8216-4B56-9340-C502F192F1BC}" name="Projected _x000a_cost" totalsRowFunction="custom" dataDxfId="422" totalsRowDxfId="421">
      <totalsRowFormula>SUM(Taxes187210223295334[Projected 
cost])</totalsRowFormula>
    </tableColumn>
    <tableColumn id="3" xr3:uid="{DE2EC265-7015-4C7C-BDDB-8CD074966470}" name="Actual _x000a_cost" totalsRowFunction="custom" dataDxfId="420" totalsRowDxfId="419">
      <totalsRowFormula>SUM(Taxes187210223295334[Actual 
cost])</totalsRowFormula>
    </tableColumn>
    <tableColumn id="4" xr3:uid="{F247417B-CE54-40E0-86F8-B6FD736D745B}" name="Difference" totalsRowFunction="sum" dataDxfId="418" totalsRowDxfId="417">
      <calculatedColumnFormula>Taxes187210223295334[[#This Row],[Projected 
cost]]-Taxes187210223295334[[#This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17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4" xr:uid="{400BFBD2-0037-4ECD-9120-0FEB4AD78376}" name="Savings189211224296335" displayName="Savings189211224296335" ref="F71:I75" totalsRowCount="1" headerRowDxfId="416" dataDxfId="414" totalsRowDxfId="413" headerRowBorderDxfId="415" totalsRowBorderDxfId="412">
  <autoFilter ref="F71:I74" xr:uid="{E1977D02-FD4F-4559-BAF7-ADB98963CB0F}"/>
  <tableColumns count="4">
    <tableColumn id="1" xr3:uid="{2E91EC51-CADD-426F-BAAA-2953B514239A}" name="Category" totalsRowLabel="Subtotal" dataDxfId="411" totalsRowDxfId="410"/>
    <tableColumn id="2" xr3:uid="{02F6B1B3-1A49-48CB-A185-F23B95AC10DF}" name="Projected _x000a_cost" totalsRowFunction="custom" dataDxfId="409" totalsRowDxfId="408">
      <totalsRowFormula>SUM(Savings189211224296335[Projected 
cost])</totalsRowFormula>
    </tableColumn>
    <tableColumn id="3" xr3:uid="{9771DDCC-ED7D-46E1-8E02-ECC441DAFD93}" name="Actual _x000a_cost" totalsRowFunction="custom" dataDxfId="407" totalsRowDxfId="406">
      <totalsRowFormula>SUM(Savings189211224296335[Actual 
cost])</totalsRowFormula>
    </tableColumn>
    <tableColumn id="4" xr3:uid="{0230509A-4C01-4057-9DC6-646D3B15D5D1}" name="Difference" totalsRowFunction="sum" dataDxfId="405" totalsRowDxfId="404">
      <calculatedColumnFormula>Savings189211224296335[[#This Row],[Projected 
cost]]-Savings189211224296335[[#This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7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5" xr:uid="{5A01B31E-8730-4917-B48D-7EB14EACF860}" name="Food191212225297336" displayName="Food191212225297336" ref="A71:D75" totalsRowCount="1" headerRowDxfId="403" dataDxfId="401" totalsRowDxfId="399" headerRowBorderDxfId="402" tableBorderDxfId="400" totalsRowBorderDxfId="398">
  <autoFilter ref="A71:D74" xr:uid="{752B363C-2D82-4416-B41B-450F9541E34C}"/>
  <tableColumns count="4">
    <tableColumn id="1" xr3:uid="{EEB56145-D41C-446E-A4D1-11303E10597C}" name="Category" totalsRowLabel="Subtotal" dataDxfId="397" totalsRowDxfId="396"/>
    <tableColumn id="2" xr3:uid="{939C398F-D24F-4C97-ABE3-15A20362AF3F}" name="Projected _x000a_cost" totalsRowFunction="custom" dataDxfId="395" totalsRowDxfId="394">
      <totalsRowFormula>SUM(Food191212225297336[Projected 
cost])</totalsRowFormula>
    </tableColumn>
    <tableColumn id="3" xr3:uid="{B8A192BB-2CF1-4A83-9E0D-5545CA0C141E}" name="Actual _x000a_cost" totalsRowFunction="custom" dataDxfId="393" totalsRowDxfId="392">
      <totalsRowFormula>SUM(Food191212225297336[Actual 
cost])</totalsRowFormula>
    </tableColumn>
    <tableColumn id="4" xr3:uid="{1550BAA6-FFDB-4FD0-B076-8C72B0B8E80B}" name="Difference" totalsRowFunction="sum" dataDxfId="391" totalsRowDxfId="390">
      <calculatedColumnFormula>Food191212225297336[[#This Row],[Projected 
cost]]-Food191212225297336[[#This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7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6" xr:uid="{35A8A7B8-1D4C-4FF8-B1D6-04ADDA3CDC17}" name="Gifts193213226298337" displayName="Gifts193213226298337" ref="F78:I82" totalsRowCount="1" headerRowDxfId="389" dataDxfId="387" totalsRowDxfId="386" headerRowBorderDxfId="388" totalsRowBorderDxfId="385">
  <autoFilter ref="F78:I81" xr:uid="{14E81561-7182-48EB-877C-1D3C0D007945}"/>
  <tableColumns count="4">
    <tableColumn id="1" xr3:uid="{B636CF23-D565-41A7-8EE9-61A15F79C683}" name="Category" totalsRowLabel="Subtotal" dataDxfId="384" totalsRowDxfId="383"/>
    <tableColumn id="2" xr3:uid="{15279240-C87D-4F35-B90B-2D090E5BFBE8}" name="Projected _x000a_cost" totalsRowFunction="custom" dataDxfId="382" totalsRowDxfId="381">
      <totalsRowFormula>SUM(Gifts193213226298337[Projected 
cost])</totalsRowFormula>
    </tableColumn>
    <tableColumn id="3" xr3:uid="{DD19FC60-EF07-4C59-9DBE-8ECDBE234E30}" name="Actual _x000a_cost" totalsRowFunction="custom" dataDxfId="380" totalsRowDxfId="379">
      <totalsRowFormula>SUM(Gifts193213226298337[Actual 
cost])</totalsRowFormula>
    </tableColumn>
    <tableColumn id="4" xr3:uid="{CC356A36-CF8E-4347-8875-0FE34D0BB6BB}" name="Difference" totalsRowFunction="sum" dataDxfId="378" totalsRowDxfId="377">
      <calculatedColumnFormula>Gifts193213226298337[[#This Row],[Projected 
cost]]-Gifts193213226298337[[#This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7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7" xr:uid="{7DC97869-EE5C-463B-84E5-A038D7BF5A79}" name="Pets195214227299338" displayName="Pets195214227299338" ref="A78:D84" totalsRowCount="1" headerRowDxfId="376" dataDxfId="374" totalsRowDxfId="373" headerRowBorderDxfId="375" totalsRowBorderDxfId="372">
  <autoFilter ref="A78:D83" xr:uid="{BB8FB9C3-90C8-4A9B-94EA-89218C8670C2}"/>
  <tableColumns count="4">
    <tableColumn id="1" xr3:uid="{F48A6FCD-9878-4376-AFEB-F9D809C22C80}" name="Category" totalsRowLabel="Subtotal" dataDxfId="371" totalsRowDxfId="370"/>
    <tableColumn id="2" xr3:uid="{B45401FC-CA2C-4993-8AD2-8A56EFCB5272}" name="Projected _x000a_cost" totalsRowFunction="custom" dataDxfId="369" totalsRowDxfId="368">
      <totalsRowFormula>SUM(Pets195214227299338[Projected 
cost])</totalsRowFormula>
    </tableColumn>
    <tableColumn id="3" xr3:uid="{CA033A62-C68B-47D5-9FF9-D7E442943328}" name="Actual _x000a_cost" totalsRowFunction="custom" dataDxfId="367" totalsRowDxfId="366">
      <totalsRowFormula>SUM(Pets195214227299338[Actual 
cost])</totalsRowFormula>
    </tableColumn>
    <tableColumn id="4" xr3:uid="{F53AC336-C08C-438F-A975-16390C82DD34}" name="Difference" totalsRowFunction="sum" dataDxfId="365" totalsRowDxfId="364">
      <calculatedColumnFormula>Pets195214227299338[[#This Row],[Projected 
cost]]-Pets195214227299338[[#This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7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8" xr:uid="{C4D092C5-0AA6-4263-950D-CA9949A35204}" name="PersonalCare197215228300339" displayName="PersonalCare197215228300339" ref="A87:D95" totalsRowCount="1" headerRowDxfId="363" dataDxfId="361" totalsRowDxfId="360" headerRowBorderDxfId="362" totalsRowBorderDxfId="359">
  <autoFilter ref="A87:D94" xr:uid="{2CBFA43E-52CB-48F8-AA14-1E41A126831F}"/>
  <tableColumns count="4">
    <tableColumn id="1" xr3:uid="{ECD27F0C-F103-446C-A480-A1545DAB7EAB}" name="Category" totalsRowLabel="Subtotal" dataDxfId="358" totalsRowDxfId="357"/>
    <tableColumn id="2" xr3:uid="{2E7BDC49-C0EB-460C-8206-D6E13F4B70F9}" name="Projected _x000a_cost" totalsRowFunction="custom" dataDxfId="356" totalsRowDxfId="355">
      <totalsRowFormula>SUM(PersonalCare197215228300339[Projected 
cost])</totalsRowFormula>
    </tableColumn>
    <tableColumn id="3" xr3:uid="{7551DE36-B6CB-4F6F-8C71-B0B8C373B81E}" name="Actual _x000a_cost" totalsRowFunction="custom" dataDxfId="354" totalsRowDxfId="353">
      <totalsRowFormula>SUM(PersonalCare197215228300339[Actual 
cost])</totalsRowFormula>
    </tableColumn>
    <tableColumn id="4" xr3:uid="{5B2B2B37-8C69-4371-B8AF-A65AD357EE9A}" name="Difference" totalsRowFunction="sum" dataDxfId="352" totalsRowDxfId="351">
      <calculatedColumnFormula>PersonalCare197215228300339[[#This Row],[Projected 
cost]]-PersonalCare197215228300339[[#This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7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9" xr:uid="{40E1101F-6FF0-4AAB-BB89-20A4FC93236B}" name="Legal198216229301340" displayName="Legal198216229301340" ref="F87:I92" totalsRowCount="1" headerRowDxfId="350" dataDxfId="348" totalsRowDxfId="347" headerRowBorderDxfId="349" totalsRowBorderDxfId="346">
  <autoFilter ref="F87:I91" xr:uid="{CE9CF11C-4460-46D8-B94F-D7DB1A431F85}"/>
  <tableColumns count="4">
    <tableColumn id="1" xr3:uid="{07F3E84C-EA6F-4711-B194-BED233764F59}" name="Category" totalsRowLabel="Subtotal" dataDxfId="345" totalsRowDxfId="344"/>
    <tableColumn id="2" xr3:uid="{38C6D249-E9B1-49E0-9C64-BA766C9D4F03}" name="Projected _x000a_cost" totalsRowFunction="custom" dataDxfId="343" totalsRowDxfId="342">
      <totalsRowFormula>SUM(Legal198216229301340[Projected 
cost])</totalsRowFormula>
    </tableColumn>
    <tableColumn id="3" xr3:uid="{DF5ED42E-4870-4903-8B7D-67278F283DC6}" name="Actual _x000a_cost" totalsRowFunction="custom" dataDxfId="341" totalsRowDxfId="340">
      <totalsRowFormula>SUM(Legal198216229301340[Actual 
cost])</totalsRowFormula>
    </tableColumn>
    <tableColumn id="4" xr3:uid="{72BC9DF4-D652-4209-9E84-E6B004565BA2}" name="Difference" totalsRowFunction="sum" dataDxfId="339" totalsRowDxfId="338">
      <calculatedColumnFormula>Legal198216229301340[[#This Row],[Projected 
cost]]-Legal198216229301340[[#This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8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0" xr:uid="{A238A184-04B0-478C-92D8-94A9BA200442}" name="Table176199217230302341" displayName="Table176199217230302341" ref="J52:J63" totalsRowShown="0" headerRowDxfId="337" dataDxfId="336">
  <autoFilter ref="J52:J63" xr:uid="{84D7483B-0AA3-443D-B077-CB614166CB8E}"/>
  <tableColumns count="1">
    <tableColumn id="1" xr3:uid="{0295D47A-1554-4094-91E9-7C60BCE77646}" name="Total Amount Owed" dataDxfId="335"/>
  </tableColumns>
  <tableStyleInfo name="Address Book" showFirstColumn="0" showLastColumn="0" showRowStripes="1" showColumnStripes="0"/>
</table>
</file>

<file path=xl/tables/table18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5" xr:uid="{C086BF0C-061E-473E-B965-7B6C3D53CA47}" name="Table1516116270274278282286368372376" displayName="Table1516116270274278282286368372376" ref="C3:E40" totalsRowShown="0" headerRowCellStyle="Currency" dataCellStyle="Currency">
  <autoFilter ref="C3:E40" xr:uid="{A2C35252-D38E-4A14-BF19-C14532D2BA19}"/>
  <tableColumns count="3">
    <tableColumn id="1" xr3:uid="{83DA8968-E870-435B-A10D-7A4B1D5E7920}" name="Credit Card Balances " dataCellStyle="Currency">
      <calculatedColumnFormula>#REF!</calculatedColumnFormula>
    </tableColumn>
    <tableColumn id="2" xr3:uid="{25A9AD34-6D44-434C-87C5-8D68671B9540}" name="Budgeted Amount" dataCellStyle="Currency"/>
    <tableColumn id="3" xr3:uid="{58797ADB-A331-45E8-8FC7-F54C7A428D68}" name="Interest" dataDxfId="334" dataCellStyle="Percent"/>
  </tableColumns>
  <tableStyleInfo name="TableStyleMedium2" showFirstColumn="0" showLastColumn="0" showRowStripes="1" showColumnStripes="0"/>
</table>
</file>

<file path=xl/tables/table18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6" xr:uid="{E0B0B1F2-BCCB-41A0-BCEC-17E1C1F36BE2}" name="Table17218271275279283287369373377" displayName="Table17218271275279283287369373377" ref="B3:B40" totalsRowShown="0" headerRowCellStyle="Currency" dataCellStyle="Currency">
  <autoFilter ref="B3:B40" xr:uid="{84E0FCCA-604E-4CFC-A3ED-829019A207A1}"/>
  <tableColumns count="1">
    <tableColumn id="1" xr3:uid="{EA5A3032-DBF6-4BEB-83EF-F2267D3AA970}" name="Credit Card " dataCellStyle="Currency"/>
  </tableColumns>
  <tableStyleInfo name="TableStyleMedium2" showFirstColumn="0" showLastColumn="0" showRowStripes="1" showColumnStripes="0"/>
</table>
</file>

<file path=xl/tables/table18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7" xr:uid="{E533E982-1FF7-4ECF-8786-91651A6829D2}" name="Table175200202174272276280284288370374378" displayName="Table175200202174272276280284288370374378" ref="B44:G65" totalsRowShown="0">
  <autoFilter ref="B44:G65" xr:uid="{22F8BEB6-9F00-4EC8-9EC9-8638209FE1D0}"/>
  <tableColumns count="6">
    <tableColumn id="1" xr3:uid="{C8944BBC-80A5-4923-B946-005BA43EEAED}" name="Lender"/>
    <tableColumn id="6" xr3:uid="{D3373D32-C98F-452A-BFD3-E6D972FB084E}" name="Loan Type"/>
    <tableColumn id="5" xr3:uid="{855AF198-8E69-4513-A1D4-B6601603753E}" name="Loan Amount" dataCellStyle="Currency"/>
    <tableColumn id="2" xr3:uid="{5FF76186-FF8E-4B29-85C5-4F1FBD199DC3}" name="Interest"/>
    <tableColumn id="3" xr3:uid="{A9F2D8B7-31E9-4CBB-B3BC-35E0D5BE3627}" name="Budgeted Amount" dataCellStyle="Currency"/>
    <tableColumn id="4" xr3:uid="{3BD4D129-52AC-4E90-8BA9-51C36F6B3AB6}" name="Link "/>
  </tableColumns>
  <tableStyleInfo name="TableStyleMedium2" showFirstColumn="0" showLastColumn="0" showRowStripes="1" showColumnStripes="0"/>
</table>
</file>

<file path=xl/tables/table18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8" xr:uid="{D596E2AB-E6C2-4345-B6B9-BD352711F90E}" name="Table177273277281285289371375379" displayName="Table177273277281285289371375379" ref="F3:F41" totalsRowShown="0">
  <autoFilter ref="F3:F41" xr:uid="{521A51DA-26B2-4803-931E-53A3500E395A}"/>
  <tableColumns count="1">
    <tableColumn id="1" xr3:uid="{ADCEF695-6F66-43D4-9292-0EDDAA2F608D}" name="Links"/>
  </tableColumns>
  <tableStyleInfo name="TableStyleMedium2" showFirstColumn="0" showLastColumn="0" showRowStripes="1" showColumnStripes="0"/>
</table>
</file>

<file path=xl/tables/table18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1" xr:uid="{FC629822-E22B-461B-975B-A252D62225B3}" name="Housing179205218290342" displayName="Housing179205218290342" ref="A38:D49" totalsRowCount="1" headerRowDxfId="333" dataDxfId="331" totalsRowDxfId="329" headerRowBorderDxfId="332" tableBorderDxfId="330" totalsRowBorderDxfId="328">
  <autoFilter ref="A38:D48" xr:uid="{EC273E32-6E66-412D-9274-02C7232B97EF}"/>
  <tableColumns count="4">
    <tableColumn id="1" xr3:uid="{E1EF6767-61CB-4642-B354-656A0A935BF1}" name="Category" totalsRowLabel="Subtotal" dataDxfId="327" totalsRowDxfId="326"/>
    <tableColumn id="2" xr3:uid="{0C01B246-EED9-4898-83FD-CD4E3503952E}" name="Projected_x000a_cost" totalsRowFunction="custom" dataDxfId="325" totalsRowDxfId="324">
      <totalsRowFormula>SUM(Housing179205218290342[Projected
cost])</totalsRowFormula>
    </tableColumn>
    <tableColumn id="3" xr3:uid="{4B0A2995-B680-4DAC-9FEF-6B29418E8069}" name="Actual _x000a_cost" totalsRowFunction="custom" dataDxfId="323" totalsRowDxfId="322">
      <totalsRowFormula>SUM(Housing179205218290342[Actual 
cost])</totalsRowFormula>
    </tableColumn>
    <tableColumn id="4" xr3:uid="{FA5268D3-90DD-4B3A-96F8-A1B10639FADD}" name="Difference" totalsRowFunction="sum" dataDxfId="321" totalsRowDxfId="320"/>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18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2" xr:uid="{0393CC8A-4889-4E8D-9653-28339E6D7A61}" name="Entertainment180206219291343" displayName="Entertainment180206219291343" ref="F38:I48" totalsRowCount="1" headerRowDxfId="319" dataDxfId="317" totalsRowDxfId="315" headerRowBorderDxfId="318" tableBorderDxfId="316" totalsRowBorderDxfId="314" headerRowCellStyle="Normal">
  <autoFilter ref="F38:I47" xr:uid="{ABCD7A91-8B8E-4420-BB8E-404C23881506}"/>
  <tableColumns count="4">
    <tableColumn id="1" xr3:uid="{651FB5DD-C046-47AD-9A8E-934BA34B2E78}" name="Category" totalsRowLabel="Subtotal" dataDxfId="313" totalsRowDxfId="312"/>
    <tableColumn id="2" xr3:uid="{880C9E72-3CA6-4A46-9109-F588DF968F76}" name="Projected _x000a_cost" totalsRowFunction="custom" dataDxfId="311" totalsRowDxfId="310">
      <totalsRowFormula>SUM(Entertainment180206219291343[Projected 
cost])</totalsRowFormula>
    </tableColumn>
    <tableColumn id="3" xr3:uid="{007083F8-BAE8-486F-829B-99E3DD7EFCEB}" name="Actual _x000a_cost" totalsRowFunction="custom" dataDxfId="309" totalsRowDxfId="308">
      <totalsRowFormula>SUM(Entertainment180206219291343[Actual 
cost])</totalsRowFormula>
    </tableColumn>
    <tableColumn id="4" xr3:uid="{6D6728C2-809E-4265-9C81-77A3D93FD86F}" name="Difference" totalsRowFunction="sum" dataDxfId="307" totalsRowDxfId="306">
      <calculatedColumnFormula>Entertainment180206219291343[[#This Row],[Projected 
cost]]-Entertainment180206219291343[[#This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18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3" xr:uid="{9694BD00-ADB0-4DA2-9950-455586F9FFC9}" name="Loans182207220292344" displayName="Loans182207220292344" ref="F52:I59" totalsRowCount="1" headerRowDxfId="305" dataDxfId="303" totalsRowDxfId="301" headerRowBorderDxfId="304" tableBorderDxfId="302" totalsRowBorderDxfId="300">
  <autoFilter ref="F52:I58" xr:uid="{46FC0980-1C10-4EC9-897C-D19A1567FFB4}"/>
  <tableColumns count="4">
    <tableColumn id="1" xr3:uid="{CD041752-D546-43F4-A528-BF94543D8DC2}" name="Category" totalsRowLabel="Subtotal" dataDxfId="299" totalsRowDxfId="298"/>
    <tableColumn id="2" xr3:uid="{ECFD6E67-1BD4-4134-B26E-53D1584F8382}" name="Projected _x000a_cost" totalsRowFunction="custom" dataDxfId="297" totalsRowDxfId="296">
      <totalsRowFormula>SUM(Loans182207220292344[Projected 
cost])</totalsRowFormula>
    </tableColumn>
    <tableColumn id="3" xr3:uid="{D3BACB83-B892-40B4-A870-D852E4522B09}" name="Actual _x000a_cost" totalsRowFunction="custom" dataDxfId="295" totalsRowDxfId="294">
      <totalsRowFormula>SUM(Loans182207220292344[Actual 
cost])</totalsRowFormula>
    </tableColumn>
    <tableColumn id="4" xr3:uid="{ED8E23A8-D75C-47A2-9875-9CBA7A943F4E}" name="Difference" totalsRowFunction="sum" dataDxfId="293" totalsRowDxfId="292">
      <calculatedColumnFormula>Loans182207220292344[[#This Row],[Projected 
cost]]-Loans182207220292344[[#This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18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4" xr:uid="{EFE9679F-8456-45E0-8211-0A749A64445A}" name="Transportation183208221293345" displayName="Transportation183208221293345" ref="A52:D60" totalsRowCount="1" headerRowDxfId="291" dataDxfId="289" totalsRowDxfId="287" headerRowBorderDxfId="290" tableBorderDxfId="288" totalsRowBorderDxfId="286">
  <autoFilter ref="A52:D59" xr:uid="{3791348C-6B86-4DC3-9AC7-E3294CB9F519}"/>
  <tableColumns count="4">
    <tableColumn id="1" xr3:uid="{A0884224-6470-4C09-894A-F728B70B960D}" name="Category" totalsRowLabel="Subtotal" dataDxfId="285" totalsRowDxfId="284"/>
    <tableColumn id="2" xr3:uid="{1FAF79E1-14BA-4DD4-B673-5A6F220A3F81}" name="Projected _x000a_cost" totalsRowFunction="custom" dataDxfId="283" totalsRowDxfId="282">
      <totalsRowFormula>SUM(Transportation183208221293345[Projected 
cost])</totalsRowFormula>
    </tableColumn>
    <tableColumn id="3" xr3:uid="{0BD7D8A8-0316-4953-83F7-2DF07BB5A3A3}" name="Actual _x000a_cost" totalsRowFunction="custom" dataDxfId="281" totalsRowDxfId="280">
      <totalsRowFormula>SUM(Transportation183208221293345[Actual 
cost])</totalsRowFormula>
    </tableColumn>
    <tableColumn id="4" xr3:uid="{8E554C8D-E14E-4DBE-8F06-C0D60CA81B10}" name="Difference" totalsRowFunction="sum" dataDxfId="279" totalsRowDxfId="278">
      <calculatedColumnFormula>Transportation183208221293345[[#This Row],[Projected 
cost]]-Transportation183208221293345[[#This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18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5" xr:uid="{4DF67BB0-AC3A-4587-9B2A-289E98980C4C}" name="Insurance185209222294346" displayName="Insurance185209222294346" ref="A63:D68" totalsRowCount="1" headerRowDxfId="277" dataDxfId="275" totalsRowDxfId="273" headerRowBorderDxfId="276" tableBorderDxfId="274" totalsRowBorderDxfId="272">
  <autoFilter ref="A63:D67" xr:uid="{97815EBA-35E4-46C9-99FC-9A9B6F57B9D9}"/>
  <tableColumns count="4">
    <tableColumn id="1" xr3:uid="{8EA83EEB-608B-4906-8634-947C49E36271}" name="Category" totalsRowLabel="Subtotal" dataDxfId="271" totalsRowDxfId="270"/>
    <tableColumn id="2" xr3:uid="{5D7E851F-5B12-4827-B8A9-0661B399C6DF}" name="Projected_x000a_cost" totalsRowLabel="$0.00" dataDxfId="269" totalsRowDxfId="268"/>
    <tableColumn id="3" xr3:uid="{8444DD1F-CE35-4418-9493-8C9834E8F742}" name="Actual _x000a_cost" totalsRowFunction="custom" dataDxfId="267" totalsRowDxfId="266">
      <totalsRowFormula>SUM(Insurance185209222294346[Actual 
cost])</totalsRowFormula>
    </tableColumn>
    <tableColumn id="4" xr3:uid="{24E26977-CD60-4D97-93E0-6994348DC74C}" name="Difference" totalsRowFunction="sum" dataDxfId="265" totalsRowDxfId="264">
      <calculatedColumnFormula>Insurance185209222294346[[#This Row],[Projected
cost]]-Insurance185209222294346[[#This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19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6" xr:uid="{77990254-93BF-49E8-B343-49A91FACEA6C}" name="Taxes187210223295347" displayName="Taxes187210223295347" ref="F63:I68" totalsRowCount="1" headerRowDxfId="263" dataDxfId="261" totalsRowDxfId="259" headerRowBorderDxfId="262" tableBorderDxfId="260" totalsRowBorderDxfId="258">
  <autoFilter ref="F63:I67" xr:uid="{41433824-9014-42A3-A455-96583DB291E2}"/>
  <tableColumns count="4">
    <tableColumn id="1" xr3:uid="{C1A48F2D-1B5E-4212-A091-E583C09592BD}" name="Category" totalsRowLabel="Subtotal" dataDxfId="257" totalsRowDxfId="256"/>
    <tableColumn id="2" xr3:uid="{80124205-DADC-416F-A8B7-EF09DA551424}" name="Projected _x000a_cost" totalsRowFunction="custom" dataDxfId="255" totalsRowDxfId="254">
      <totalsRowFormula>SUM(Taxes187210223295347[Projected 
cost])</totalsRowFormula>
    </tableColumn>
    <tableColumn id="3" xr3:uid="{C54F902D-0C82-46E2-BE8E-44112A71B983}" name="Actual _x000a_cost" totalsRowFunction="custom" dataDxfId="253" totalsRowDxfId="252">
      <totalsRowFormula>SUM(Taxes187210223295347[Actual 
cost])</totalsRowFormula>
    </tableColumn>
    <tableColumn id="4" xr3:uid="{EF932F83-5287-4AAB-A405-7DB42115BAC6}" name="Difference" totalsRowFunction="sum" dataDxfId="251" totalsRowDxfId="250">
      <calculatedColumnFormula>Taxes187210223295347[[#This Row],[Projected 
cost]]-Taxes187210223295347[[#This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19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7" xr:uid="{7D0E39B2-75F6-4013-B5A3-31A9507A8724}" name="Savings189211224296348" displayName="Savings189211224296348" ref="F71:I75" totalsRowCount="1" headerRowDxfId="249" dataDxfId="247" totalsRowDxfId="246" headerRowBorderDxfId="248" totalsRowBorderDxfId="245">
  <autoFilter ref="F71:I74" xr:uid="{E1977D02-FD4F-4559-BAF7-ADB98963CB0F}"/>
  <tableColumns count="4">
    <tableColumn id="1" xr3:uid="{A64DC969-1602-4F78-A615-077496E4A870}" name="Category" totalsRowLabel="Subtotal" dataDxfId="244" totalsRowDxfId="243"/>
    <tableColumn id="2" xr3:uid="{2F6C721E-903D-48B6-AD1F-A50D22EEBB22}" name="Projected _x000a_cost" totalsRowFunction="custom" dataDxfId="242" totalsRowDxfId="241">
      <totalsRowFormula>SUM(Savings189211224296348[Projected 
cost])</totalsRowFormula>
    </tableColumn>
    <tableColumn id="3" xr3:uid="{09EF1A9B-EDA7-437C-9264-33F75D8E93EF}" name="Actual _x000a_cost" totalsRowFunction="custom" dataDxfId="240" totalsRowDxfId="239">
      <totalsRowFormula>SUM(Savings189211224296348[Actual 
cost])</totalsRowFormula>
    </tableColumn>
    <tableColumn id="4" xr3:uid="{CB4BCDB8-5877-4EEF-A12B-795222F1CABB}" name="Difference" totalsRowFunction="sum" dataDxfId="238" totalsRowDxfId="237">
      <calculatedColumnFormula>Savings189211224296348[[#This Row],[Projected 
cost]]-Savings189211224296348[[#This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9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8" xr:uid="{0B98054E-6314-4D3D-AC9C-A0EA3BA408A1}" name="Food191212225297349" displayName="Food191212225297349" ref="A71:D75" totalsRowCount="1" headerRowDxfId="236" dataDxfId="234" totalsRowDxfId="232" headerRowBorderDxfId="235" tableBorderDxfId="233" totalsRowBorderDxfId="231">
  <autoFilter ref="A71:D74" xr:uid="{752B363C-2D82-4416-B41B-450F9541E34C}"/>
  <tableColumns count="4">
    <tableColumn id="1" xr3:uid="{113AC75B-7995-49E8-9833-3606B9B43B4B}" name="Category" totalsRowLabel="Subtotal" dataDxfId="230" totalsRowDxfId="229"/>
    <tableColumn id="2" xr3:uid="{DF66D722-87A0-48B8-940E-7F0EDFE02AAE}" name="Projected _x000a_cost" totalsRowFunction="custom" dataDxfId="228" totalsRowDxfId="227">
      <totalsRowFormula>SUM(Food191212225297349[Projected 
cost])</totalsRowFormula>
    </tableColumn>
    <tableColumn id="3" xr3:uid="{C54CFEE7-8BAC-43EB-8DB0-DE1C9F385D2D}" name="Actual _x000a_cost" totalsRowFunction="custom" dataDxfId="226" totalsRowDxfId="225">
      <totalsRowFormula>SUM(Food191212225297349[Actual 
cost])</totalsRowFormula>
    </tableColumn>
    <tableColumn id="4" xr3:uid="{85FE72B0-3BCD-45CE-8ED3-466690909361}" name="Difference" totalsRowFunction="sum" dataDxfId="224" totalsRowDxfId="223">
      <calculatedColumnFormula>Food191212225297349[[#This Row],[Projected 
cost]]-Food191212225297349[[#This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9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9" xr:uid="{542CBEEE-17F1-4E3C-BD94-2D6BAD130F8E}" name="Gifts193213226298350" displayName="Gifts193213226298350" ref="F78:I82" totalsRowCount="1" headerRowDxfId="222" dataDxfId="220" totalsRowDxfId="219" headerRowBorderDxfId="221" totalsRowBorderDxfId="218">
  <autoFilter ref="F78:I81" xr:uid="{14E81561-7182-48EB-877C-1D3C0D007945}"/>
  <tableColumns count="4">
    <tableColumn id="1" xr3:uid="{ACB86E32-BBE3-4D80-B542-124B3C3B2A7B}" name="Category" totalsRowLabel="Subtotal" dataDxfId="217" totalsRowDxfId="216"/>
    <tableColumn id="2" xr3:uid="{C525B681-FD04-4D21-9ED0-D09F2FECC17F}" name="Projected _x000a_cost" totalsRowFunction="custom" dataDxfId="215" totalsRowDxfId="214">
      <totalsRowFormula>SUM(Gifts193213226298350[Projected 
cost])</totalsRowFormula>
    </tableColumn>
    <tableColumn id="3" xr3:uid="{F2D2202E-6072-4BED-95AD-4BF081E76573}" name="Actual _x000a_cost" totalsRowFunction="custom" dataDxfId="213" totalsRowDxfId="212">
      <totalsRowFormula>SUM(Gifts193213226298350[Actual 
cost])</totalsRowFormula>
    </tableColumn>
    <tableColumn id="4" xr3:uid="{56BB8365-56CE-46FD-8AF5-BFDB520117DA}" name="Difference" totalsRowFunction="sum" dataDxfId="211" totalsRowDxfId="210">
      <calculatedColumnFormula>Gifts193213226298350[[#This Row],[Projected 
cost]]-Gifts193213226298350[[#This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9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0" xr:uid="{7B8C9C10-4219-4FC9-9BAA-5286D0F546BF}" name="Pets195214227299351" displayName="Pets195214227299351" ref="A78:D84" totalsRowCount="1" headerRowDxfId="209" dataDxfId="207" totalsRowDxfId="206" headerRowBorderDxfId="208" totalsRowBorderDxfId="205">
  <autoFilter ref="A78:D83" xr:uid="{BB8FB9C3-90C8-4A9B-94EA-89218C8670C2}"/>
  <tableColumns count="4">
    <tableColumn id="1" xr3:uid="{49FD506F-CCD1-4444-B69D-94E75DB04BC3}" name="Category" totalsRowLabel="Subtotal" dataDxfId="204" totalsRowDxfId="203"/>
    <tableColumn id="2" xr3:uid="{3E72D3D9-FB21-48C8-A104-A3685FB17A3D}" name="Projected _x000a_cost" totalsRowFunction="custom" dataDxfId="202" totalsRowDxfId="201">
      <totalsRowFormula>SUM(Pets195214227299351[Projected 
cost])</totalsRowFormula>
    </tableColumn>
    <tableColumn id="3" xr3:uid="{46B25CB6-C678-4522-A560-4599DFF1E2DD}" name="Actual _x000a_cost" totalsRowFunction="custom" dataDxfId="200" totalsRowDxfId="199">
      <totalsRowFormula>SUM(Pets195214227299351[Actual 
cost])</totalsRowFormula>
    </tableColumn>
    <tableColumn id="4" xr3:uid="{DDB95E81-323C-4250-BB22-204FE5D45C88}" name="Difference" totalsRowFunction="sum" dataDxfId="198" totalsRowDxfId="197">
      <calculatedColumnFormula>Pets195214227299351[[#This Row],[Projected 
cost]]-Pets195214227299351[[#This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9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1" xr:uid="{9119DC32-168C-4FEB-AEEF-254A76C1296E}" name="PersonalCare197215228300352" displayName="PersonalCare197215228300352" ref="A87:D95" totalsRowCount="1" headerRowDxfId="196" dataDxfId="194" totalsRowDxfId="193" headerRowBorderDxfId="195" totalsRowBorderDxfId="192">
  <autoFilter ref="A87:D94" xr:uid="{2CBFA43E-52CB-48F8-AA14-1E41A126831F}"/>
  <tableColumns count="4">
    <tableColumn id="1" xr3:uid="{094D7461-B995-4869-9DAE-14418AC15934}" name="Category" totalsRowLabel="Subtotal" dataDxfId="191" totalsRowDxfId="190"/>
    <tableColumn id="2" xr3:uid="{BAB2C0CE-9F45-46B0-B6E1-17BE795C0131}" name="Projected _x000a_cost" totalsRowFunction="custom" dataDxfId="189" totalsRowDxfId="188">
      <totalsRowFormula>SUM(PersonalCare197215228300352[Projected 
cost])</totalsRowFormula>
    </tableColumn>
    <tableColumn id="3" xr3:uid="{5C25E92F-F991-401D-91F8-3A374CBE2E9C}" name="Actual _x000a_cost" totalsRowFunction="custom" dataDxfId="187" totalsRowDxfId="186">
      <totalsRowFormula>SUM(PersonalCare197215228300352[Actual 
cost])</totalsRowFormula>
    </tableColumn>
    <tableColumn id="4" xr3:uid="{7E8502C4-7BE0-4350-AC55-5A31EA00BBD0}" name="Difference" totalsRowFunction="sum" dataDxfId="185" totalsRowDxfId="184">
      <calculatedColumnFormula>PersonalCare197215228300352[[#This Row],[Projected 
cost]]-PersonalCare197215228300352[[#This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19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2" xr:uid="{30180CA0-6EB7-4648-9CAB-08556D32F2A5}" name="Legal198216229301353" displayName="Legal198216229301353" ref="F87:I92" totalsRowCount="1" headerRowDxfId="183" dataDxfId="181" totalsRowDxfId="180" headerRowBorderDxfId="182" totalsRowBorderDxfId="179">
  <autoFilter ref="F87:I91" xr:uid="{CE9CF11C-4460-46D8-B94F-D7DB1A431F85}"/>
  <tableColumns count="4">
    <tableColumn id="1" xr3:uid="{07E996FB-DD78-4E2D-AF99-1D13FFFF8FC2}" name="Category" totalsRowLabel="Subtotal" dataDxfId="178" totalsRowDxfId="177"/>
    <tableColumn id="2" xr3:uid="{1554D334-C59B-4ABD-A6D7-22A1D3836D32}" name="Projected _x000a_cost" totalsRowFunction="custom" dataDxfId="176" totalsRowDxfId="175">
      <totalsRowFormula>SUM(Legal198216229301353[Projected 
cost])</totalsRowFormula>
    </tableColumn>
    <tableColumn id="3" xr3:uid="{ECF318E7-1888-4543-ADB7-CA4C2F341FC7}" name="Actual _x000a_cost" totalsRowFunction="custom" dataDxfId="174" totalsRowDxfId="173">
      <totalsRowFormula>SUM(Legal198216229301353[Actual 
cost])</totalsRowFormula>
    </tableColumn>
    <tableColumn id="4" xr3:uid="{9C6F933E-ADA7-43DD-8A34-A90578CA4CA4}" name="Difference" totalsRowFunction="sum" dataDxfId="172" totalsRowDxfId="171">
      <calculatedColumnFormula>Legal198216229301353[[#This Row],[Projected 
cost]]-Legal198216229301353[[#This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9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3" xr:uid="{39A23FC9-A51C-4C45-838F-73C4C6E0D0E5}" name="Table176199217230302354" displayName="Table176199217230302354" ref="J52:J63" totalsRowShown="0" headerRowDxfId="170" dataDxfId="169">
  <autoFilter ref="J52:J63" xr:uid="{84D7483B-0AA3-443D-B077-CB614166CB8E}"/>
  <tableColumns count="1">
    <tableColumn id="1" xr3:uid="{8DE54EAB-27B9-43DE-9692-643077EB9A0F}" name="Total Amount Owed" dataDxfId="168"/>
  </tableColumns>
  <tableStyleInfo name="Address Book" showFirstColumn="0" showLastColumn="0" showRowStripes="1" showColumnStripes="0"/>
</table>
</file>

<file path=xl/tables/table19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9" xr:uid="{A07A2CC2-09DF-4023-8B48-2FFCF1F14248}" name="Table1516116270274278282286368372376380" displayName="Table1516116270274278282286368372376380" ref="C3:E40" totalsRowShown="0" headerRowCellStyle="Currency" dataCellStyle="Currency">
  <autoFilter ref="C3:E40" xr:uid="{A2C35252-D38E-4A14-BF19-C14532D2BA19}"/>
  <tableColumns count="3">
    <tableColumn id="1" xr3:uid="{774F0B2A-3B31-4660-93E0-A47752AD0680}" name="Credit Card Balances " dataCellStyle="Currency">
      <calculatedColumnFormula>#REF!</calculatedColumnFormula>
    </tableColumn>
    <tableColumn id="2" xr3:uid="{9CCCEE1D-2C13-48C7-9FDB-17A7ABB48A0A}" name="Budgeted Amount" dataCellStyle="Currency"/>
    <tableColumn id="3" xr3:uid="{AA07A6E1-11D4-4B12-85BD-592B737E259F}" name="Interest" dataDxfId="167" dataCellStyle="Percent"/>
  </tableColumns>
  <tableStyleInfo name="TableStyleMedium2" showFirstColumn="0" showLastColumn="0" showRowStripes="1" showColumnStripes="0"/>
</table>
</file>

<file path=xl/tables/table19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0" xr:uid="{F9D45CB3-BD72-4D16-B619-6CE1EDA3761D}" name="Table17218271275279283287369373377381" displayName="Table17218271275279283287369373377381" ref="B3:B40" totalsRowShown="0" headerRowCellStyle="Currency" dataCellStyle="Currency">
  <autoFilter ref="B3:B40" xr:uid="{84E0FCCA-604E-4CFC-A3ED-829019A207A1}"/>
  <tableColumns count="1">
    <tableColumn id="1" xr3:uid="{E717CADD-DA98-4395-B42A-CA1A9EA556B0}" name="Credit Card " dataCellStyle="Currency"/>
  </tableColumns>
  <tableStyleInfo name="TableStyleMedium2" showFirstColumn="0" showLastColumn="0" showRowStripes="1" showColumnStripes="0"/>
</table>
</file>

<file path=xl/tables/table20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1" xr:uid="{C49B88FC-2CBC-4D3B-9D5D-86B151E0AF86}" name="Table175200202174272276280284288370374378382" displayName="Table175200202174272276280284288370374378382" ref="B44:G65" totalsRowShown="0">
  <autoFilter ref="B44:G65" xr:uid="{22F8BEB6-9F00-4EC8-9EC9-8638209FE1D0}"/>
  <tableColumns count="6">
    <tableColumn id="1" xr3:uid="{C13C2DDD-B2C2-4B2D-9752-2E36EA0C66E0}" name="Lender"/>
    <tableColumn id="6" xr3:uid="{1E8EDCEF-9C15-4BE2-8276-628139FBB7EA}" name="Loan Type"/>
    <tableColumn id="5" xr3:uid="{2134DB6C-A169-4C8F-B7B0-1D7E3E0730B9}" name="Loan Amount" dataCellStyle="Currency"/>
    <tableColumn id="2" xr3:uid="{B580D845-0F92-4007-89DE-4268B532DDDB}" name="Interest"/>
    <tableColumn id="3" xr3:uid="{2C78DB74-B521-4A74-9728-0D4BFB2617E9}" name="Budgeted Amount" dataCellStyle="Currency"/>
    <tableColumn id="4" xr3:uid="{9794091A-0E89-44EC-9AEC-100155692FB6}" name="Link "/>
  </tableColumns>
  <tableStyleInfo name="TableStyleMedium2" showFirstColumn="0" showLastColumn="0" showRowStripes="1" showColumnStripes="0"/>
</table>
</file>

<file path=xl/tables/table20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2" xr:uid="{D91F3D80-E126-487C-9D50-5DE2442E43D5}" name="Table177273277281285289371375379383" displayName="Table177273277281285289371375379383" ref="F3:F41" totalsRowShown="0">
  <autoFilter ref="F3:F41" xr:uid="{521A51DA-26B2-4803-931E-53A3500E395A}"/>
  <tableColumns count="1">
    <tableColumn id="1" xr3:uid="{B46E785E-2099-4393-9ED2-4EE621CEF235}" name="Links"/>
  </tableColumns>
  <tableStyleInfo name="TableStyleMedium2" showFirstColumn="0" showLastColumn="0" showRowStripes="1" showColumnStripes="0"/>
</table>
</file>

<file path=xl/tables/table20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4" xr:uid="{C37A0AE2-5935-4868-844D-CD044DC6633D}" name="Housing179205218290303355" displayName="Housing179205218290303355" ref="A38:D49" totalsRowCount="1" headerRowDxfId="166" dataDxfId="164" totalsRowDxfId="162" headerRowBorderDxfId="165" tableBorderDxfId="163" totalsRowBorderDxfId="161">
  <autoFilter ref="A38:D48" xr:uid="{EC273E32-6E66-412D-9274-02C7232B97EF}"/>
  <tableColumns count="4">
    <tableColumn id="1" xr3:uid="{3724E5E3-EC14-4462-98BD-A9C4DAE35A8A}" name="Category" totalsRowLabel="Subtotal" dataDxfId="160" totalsRowDxfId="159"/>
    <tableColumn id="2" xr3:uid="{1F920A50-281C-408A-93EE-52148E282D2F}" name="Projected_x000a_cost" totalsRowFunction="custom" dataDxfId="158" totalsRowDxfId="157">
      <totalsRowFormula>SUM(Housing179205218290303355[Projected
cost])</totalsRowFormula>
    </tableColumn>
    <tableColumn id="3" xr3:uid="{C6FF294C-47D8-4068-A6D9-FBA452CF38BD}" name="Actual _x000a_cost" totalsRowFunction="custom" dataDxfId="156" totalsRowDxfId="155">
      <totalsRowFormula>SUM(Housing179205218290303355[Actual 
cost])</totalsRowFormula>
    </tableColumn>
    <tableColumn id="4" xr3:uid="{E81CE21F-B4AE-4EC5-874E-FA835D991FEB}" name="Difference" totalsRowFunction="sum" dataDxfId="154" totalsRowDxfId="153"/>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20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5" xr:uid="{0CCD6E1F-2DB3-423E-A8AD-332722F55BF4}" name="Entertainment180206219291304356" displayName="Entertainment180206219291304356" ref="F38:I48" totalsRowCount="1" headerRowDxfId="152" dataDxfId="150" totalsRowDxfId="148" headerRowBorderDxfId="151" tableBorderDxfId="149" totalsRowBorderDxfId="147" headerRowCellStyle="Normal">
  <autoFilter ref="F38:I47" xr:uid="{ABCD7A91-8B8E-4420-BB8E-404C23881506}"/>
  <tableColumns count="4">
    <tableColumn id="1" xr3:uid="{41E13505-700D-461A-A56B-055C790703BB}" name="Category" totalsRowLabel="Subtotal" dataDxfId="146" totalsRowDxfId="145"/>
    <tableColumn id="2" xr3:uid="{59048BCF-4BE9-4D64-80A8-35726EFE9382}" name="Projected _x000a_cost" totalsRowFunction="custom" dataDxfId="144" totalsRowDxfId="143">
      <totalsRowFormula>SUM(Entertainment180206219291304356[Projected 
cost])</totalsRowFormula>
    </tableColumn>
    <tableColumn id="3" xr3:uid="{F3CDE629-5B81-4CD5-A708-EDF8C2E74689}" name="Actual _x000a_cost" totalsRowFunction="custom" dataDxfId="142" totalsRowDxfId="141">
      <totalsRowFormula>SUM(Entertainment180206219291304356[Actual 
cost])</totalsRowFormula>
    </tableColumn>
    <tableColumn id="4" xr3:uid="{E2E91277-D2DC-4AD5-9732-42AEFC93C42A}" name="Difference" totalsRowFunction="sum" dataDxfId="140" totalsRowDxfId="139">
      <calculatedColumnFormula>Entertainment180206219291304356[[#This Row],[Projected 
cost]]-Entertainment180206219291304356[[#This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20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6" xr:uid="{02C5B82E-73BB-48AA-A6AD-007EC4B41294}" name="Loans182207220292305357" displayName="Loans182207220292305357" ref="F52:I59" totalsRowCount="1" headerRowDxfId="138" dataDxfId="136" totalsRowDxfId="134" headerRowBorderDxfId="137" tableBorderDxfId="135" totalsRowBorderDxfId="133">
  <autoFilter ref="F52:I58" xr:uid="{46FC0980-1C10-4EC9-897C-D19A1567FFB4}"/>
  <tableColumns count="4">
    <tableColumn id="1" xr3:uid="{4DF5DF5E-5503-475B-BB99-758A45F5A65A}" name="Category" totalsRowLabel="Subtotal" dataDxfId="132" totalsRowDxfId="131"/>
    <tableColumn id="2" xr3:uid="{DCBF430B-0619-474D-A2D8-C34285092D17}" name="Projected _x000a_cost" totalsRowFunction="custom" dataDxfId="130" totalsRowDxfId="129">
      <totalsRowFormula>SUM(Loans182207220292305357[Projected 
cost])</totalsRowFormula>
    </tableColumn>
    <tableColumn id="3" xr3:uid="{8E53002E-423E-41BF-BD22-50505D3D18A3}" name="Actual _x000a_cost" totalsRowFunction="custom" dataDxfId="128" totalsRowDxfId="127">
      <totalsRowFormula>SUM(Loans182207220292305357[Actual 
cost])</totalsRowFormula>
    </tableColumn>
    <tableColumn id="4" xr3:uid="{37D5DC23-DD84-44BA-8B45-CB546C691CD5}" name="Difference" totalsRowFunction="sum" dataDxfId="126" totalsRowDxfId="125">
      <calculatedColumnFormula>Loans182207220292305357[[#This Row],[Projected 
cost]]-Loans182207220292305357[[#This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20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7" xr:uid="{B30FF042-30CE-433C-B94B-E3935F7B381A}" name="Transportation183208221293306358" displayName="Transportation183208221293306358" ref="A52:D60" totalsRowCount="1" headerRowDxfId="124" dataDxfId="122" totalsRowDxfId="120" headerRowBorderDxfId="123" tableBorderDxfId="121" totalsRowBorderDxfId="119">
  <autoFilter ref="A52:D59" xr:uid="{3791348C-6B86-4DC3-9AC7-E3294CB9F519}"/>
  <tableColumns count="4">
    <tableColumn id="1" xr3:uid="{CC16A8FD-CEDE-468D-87E2-F85CEAC42EB4}" name="Category" totalsRowLabel="Subtotal" dataDxfId="118" totalsRowDxfId="117"/>
    <tableColumn id="2" xr3:uid="{E6124A83-B7CA-485C-BA8B-6F557C264F41}" name="Projected _x000a_cost" totalsRowFunction="custom" dataDxfId="116" totalsRowDxfId="115">
      <totalsRowFormula>SUM(Transportation183208221293306358[Projected 
cost])</totalsRowFormula>
    </tableColumn>
    <tableColumn id="3" xr3:uid="{F0880A1B-C9AD-4459-97DB-0BE21C497EEC}" name="Actual _x000a_cost" totalsRowFunction="custom" dataDxfId="114" totalsRowDxfId="113">
      <totalsRowFormula>SUM(Transportation183208221293306358[Actual 
cost])</totalsRowFormula>
    </tableColumn>
    <tableColumn id="4" xr3:uid="{E364575A-4561-4D33-86D9-D7B2AF6B587F}" name="Difference" totalsRowFunction="sum" dataDxfId="112" totalsRowDxfId="111">
      <calculatedColumnFormula>Transportation183208221293306358[[#This Row],[Projected 
cost]]-Transportation183208221293306358[[#This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20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8" xr:uid="{6FD7CC3A-DD76-42C8-A9B7-CF6F4D204257}" name="Insurance185209222294307359" displayName="Insurance185209222294307359" ref="A63:D68" totalsRowCount="1" headerRowDxfId="110" dataDxfId="108" totalsRowDxfId="106" headerRowBorderDxfId="109" tableBorderDxfId="107" totalsRowBorderDxfId="105">
  <autoFilter ref="A63:D67" xr:uid="{97815EBA-35E4-46C9-99FC-9A9B6F57B9D9}"/>
  <tableColumns count="4">
    <tableColumn id="1" xr3:uid="{523BD98F-C86D-4706-A635-13A32A440810}" name="Category" totalsRowLabel="Subtotal" dataDxfId="104" totalsRowDxfId="103"/>
    <tableColumn id="2" xr3:uid="{B0442C78-A3A8-42B0-B785-368B5D32F61B}" name="Projected_x000a_cost" totalsRowLabel="$0.00" dataDxfId="102" totalsRowDxfId="101"/>
    <tableColumn id="3" xr3:uid="{81685F4D-76FD-4046-A62E-E8B9E4A767DB}" name="Actual _x000a_cost" totalsRowFunction="custom" dataDxfId="100" totalsRowDxfId="99">
      <totalsRowFormula>SUM(Insurance185209222294307359[Actual 
cost])</totalsRowFormula>
    </tableColumn>
    <tableColumn id="4" xr3:uid="{E04B1A08-0F97-4537-ACF0-D4B87D2E6BBA}" name="Difference" totalsRowFunction="sum" dataDxfId="98" totalsRowDxfId="97">
      <calculatedColumnFormula>Insurance185209222294307359[[#This Row],[Projected
cost]]-Insurance185209222294307359[[#This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20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9" xr:uid="{CBC55AA0-DCD6-4B91-BDD7-388EC3364893}" name="Taxes187210223295308360" displayName="Taxes187210223295308360" ref="F63:I68" totalsRowCount="1" headerRowDxfId="96" dataDxfId="94" totalsRowDxfId="92" headerRowBorderDxfId="95" tableBorderDxfId="93" totalsRowBorderDxfId="91">
  <autoFilter ref="F63:I67" xr:uid="{41433824-9014-42A3-A455-96583DB291E2}"/>
  <tableColumns count="4">
    <tableColumn id="1" xr3:uid="{9F164A21-021D-467A-9953-E885E398D720}" name="Category" totalsRowLabel="Subtotal" dataDxfId="90" totalsRowDxfId="89"/>
    <tableColumn id="2" xr3:uid="{BFF9FD1C-EA31-4B21-A5E0-8B9410C34CEC}" name="Projected _x000a_cost" totalsRowFunction="custom" dataDxfId="88" totalsRowDxfId="87">
      <totalsRowFormula>SUM(Taxes187210223295308360[Projected 
cost])</totalsRowFormula>
    </tableColumn>
    <tableColumn id="3" xr3:uid="{D6DAC84B-7683-42CD-8561-49BEC8BD244B}" name="Actual _x000a_cost" totalsRowFunction="custom" dataDxfId="86" totalsRowDxfId="85">
      <totalsRowFormula>SUM(Taxes187210223295308360[Actual 
cost])</totalsRowFormula>
    </tableColumn>
    <tableColumn id="4" xr3:uid="{6A12DD6C-0A91-4CB3-90EA-A564FFEFE707}" name="Difference" totalsRowFunction="sum" dataDxfId="84" totalsRowDxfId="83">
      <calculatedColumnFormula>Taxes187210223295308360[[#This Row],[Projected 
cost]]-Taxes187210223295308360[[#This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20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0" xr:uid="{2D53CDE0-0F3B-4B13-8899-5C71490424B6}" name="Savings189211224296309361" displayName="Savings189211224296309361" ref="F71:I75" totalsRowCount="1" headerRowDxfId="82" dataDxfId="80" totalsRowDxfId="79" headerRowBorderDxfId="81" totalsRowBorderDxfId="78">
  <autoFilter ref="F71:I74" xr:uid="{E1977D02-FD4F-4559-BAF7-ADB98963CB0F}"/>
  <tableColumns count="4">
    <tableColumn id="1" xr3:uid="{C7D92F4E-8E8D-44F8-BAB2-1914ECA0F387}" name="Category" totalsRowLabel="Subtotal" dataDxfId="77" totalsRowDxfId="76"/>
    <tableColumn id="2" xr3:uid="{E108A3F7-AC12-4D58-B1F3-CE905E6F8D6E}" name="Projected _x000a_cost" totalsRowFunction="custom" dataDxfId="75" totalsRowDxfId="74">
      <totalsRowFormula>SUM(Savings189211224296309361[Projected 
cost])</totalsRowFormula>
    </tableColumn>
    <tableColumn id="3" xr3:uid="{F2676578-F0B7-4A3C-B03F-165B068611DA}" name="Actual _x000a_cost" totalsRowFunction="custom" dataDxfId="73" totalsRowDxfId="72">
      <totalsRowFormula>SUM(Savings189211224296309361[Actual 
cost])</totalsRowFormula>
    </tableColumn>
    <tableColumn id="4" xr3:uid="{92BCB99A-102D-4EA7-BC93-D80867231C7D}" name="Difference" totalsRowFunction="sum" dataDxfId="71" totalsRowDxfId="70">
      <calculatedColumnFormula>Savings189211224296309361[[#This Row],[Projected 
cost]]-Savings189211224296309361[[#This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20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1" xr:uid="{B834BFFA-D887-4319-958F-CA552C10E892}" name="Food191212225297310362" displayName="Food191212225297310362" ref="A71:D75" totalsRowCount="1" headerRowDxfId="69" dataDxfId="67" totalsRowDxfId="65" headerRowBorderDxfId="68" tableBorderDxfId="66" totalsRowBorderDxfId="64">
  <autoFilter ref="A71:D74" xr:uid="{752B363C-2D82-4416-B41B-450F9541E34C}"/>
  <tableColumns count="4">
    <tableColumn id="1" xr3:uid="{1864A969-00C7-41FA-912E-C2762C7262B7}" name="Category" totalsRowLabel="Subtotal" dataDxfId="63" totalsRowDxfId="62"/>
    <tableColumn id="2" xr3:uid="{2D006A7F-AEF3-41E5-8D83-9C70368C8FF1}" name="Projected _x000a_cost" totalsRowFunction="custom" dataDxfId="61" totalsRowDxfId="60">
      <totalsRowFormula>SUM(Food191212225297310362[Projected 
cost])</totalsRowFormula>
    </tableColumn>
    <tableColumn id="3" xr3:uid="{EA69CF2B-B315-4D37-8F50-76CBCCBBC0CD}" name="Actual _x000a_cost" totalsRowFunction="custom" dataDxfId="59" totalsRowDxfId="58">
      <totalsRowFormula>SUM(Food191212225297310362[Actual 
cost])</totalsRowFormula>
    </tableColumn>
    <tableColumn id="4" xr3:uid="{441FD44F-7249-4C14-B7B1-BEAACDCD203D}" name="Difference" totalsRowFunction="sum" dataDxfId="57" totalsRowDxfId="56">
      <calculatedColumnFormula>Food191212225297310362[[#This Row],[Projected 
cost]]-Food191212225297310362[[#This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2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2" xr:uid="{6DEF5642-183F-4CE3-AE47-B69852924609}" name="Gifts193213226298311363" displayName="Gifts193213226298311363" ref="F78:I82" totalsRowCount="1" headerRowDxfId="55" dataDxfId="53" totalsRowDxfId="52" headerRowBorderDxfId="54" totalsRowBorderDxfId="51">
  <autoFilter ref="F78:I81" xr:uid="{14E81561-7182-48EB-877C-1D3C0D007945}"/>
  <tableColumns count="4">
    <tableColumn id="1" xr3:uid="{8810068F-CEA1-4188-9E9A-462F1A67E756}" name="Category" totalsRowLabel="Subtotal" dataDxfId="50" totalsRowDxfId="49"/>
    <tableColumn id="2" xr3:uid="{763F8E49-B6A1-4B26-9CED-4F90941215E9}" name="Projected _x000a_cost" totalsRowFunction="custom" dataDxfId="48" totalsRowDxfId="47">
      <totalsRowFormula>SUM(Gifts193213226298311363[Projected 
cost])</totalsRowFormula>
    </tableColumn>
    <tableColumn id="3" xr3:uid="{371C722C-431C-4C33-8633-98B78B002A94}" name="Actual _x000a_cost" totalsRowFunction="custom" dataDxfId="46" totalsRowDxfId="45">
      <totalsRowFormula>SUM(Gifts193213226298311363[Actual 
cost])</totalsRowFormula>
    </tableColumn>
    <tableColumn id="4" xr3:uid="{75C13044-5FA1-45E3-8D69-5DA795DB4380}" name="Difference" totalsRowFunction="sum" dataDxfId="44" totalsRowDxfId="43">
      <calculatedColumnFormula>Gifts193213226298311363[[#This Row],[Projected 
cost]]-Gifts193213226298311363[[#This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2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3" xr:uid="{2E7BC64D-DE6B-433E-A7DD-8E5CD9FD848D}" name="Pets195214227299312364" displayName="Pets195214227299312364" ref="A78:D84" totalsRowCount="1" headerRowDxfId="42" dataDxfId="40" totalsRowDxfId="39" headerRowBorderDxfId="41" totalsRowBorderDxfId="38">
  <autoFilter ref="A78:D83" xr:uid="{BB8FB9C3-90C8-4A9B-94EA-89218C8670C2}"/>
  <tableColumns count="4">
    <tableColumn id="1" xr3:uid="{A8363249-974A-4F3D-9E31-1323B48680BB}" name="Category" totalsRowLabel="Subtotal" dataDxfId="37" totalsRowDxfId="36"/>
    <tableColumn id="2" xr3:uid="{AC3A57CE-7971-4799-947E-3ED48D76A363}" name="Projected _x000a_cost" totalsRowFunction="custom" dataDxfId="35" totalsRowDxfId="34">
      <totalsRowFormula>SUM(Pets195214227299312364[Projected 
cost])</totalsRowFormula>
    </tableColumn>
    <tableColumn id="3" xr3:uid="{FB48C2F8-001E-4326-89C5-CBA53C065A9C}" name="Actual _x000a_cost" totalsRowFunction="custom" dataDxfId="33" totalsRowDxfId="32">
      <totalsRowFormula>SUM(Pets195214227299312364[Actual 
cost])</totalsRowFormula>
    </tableColumn>
    <tableColumn id="4" xr3:uid="{F642B45A-4D6B-4FD8-ADE1-F71DFC8AFA40}" name="Difference" totalsRowFunction="sum" dataDxfId="31" totalsRowDxfId="30">
      <calculatedColumnFormula>Pets195214227299312364[[#This Row],[Projected 
cost]]-Pets195214227299312364[[#This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2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4" xr:uid="{B64FE75A-ACAC-4554-A222-702B8D92CBAA}" name="PersonalCare197215228300313365" displayName="PersonalCare197215228300313365" ref="A87:D95" totalsRowCount="1" headerRowDxfId="29" dataDxfId="27" totalsRowDxfId="26" headerRowBorderDxfId="28" totalsRowBorderDxfId="25">
  <autoFilter ref="A87:D94" xr:uid="{2CBFA43E-52CB-48F8-AA14-1E41A126831F}"/>
  <tableColumns count="4">
    <tableColumn id="1" xr3:uid="{E95DA06F-F417-487B-90F1-50E46470C9A5}" name="Category" totalsRowLabel="Subtotal" dataDxfId="24" totalsRowDxfId="23"/>
    <tableColumn id="2" xr3:uid="{F6E091C2-9C91-4A3C-B9C0-1F5AB0ABE0FB}" name="Projected _x000a_cost" totalsRowFunction="custom" dataDxfId="22" totalsRowDxfId="21">
      <totalsRowFormula>SUM(PersonalCare197215228300313365[Projected 
cost])</totalsRowFormula>
    </tableColumn>
    <tableColumn id="3" xr3:uid="{52C70624-6330-4DF7-9FBA-9C80F21CA455}" name="Actual _x000a_cost" totalsRowFunction="custom" dataDxfId="20" totalsRowDxfId="19">
      <totalsRowFormula>SUM(PersonalCare197215228300313365[Actual 
cost])</totalsRowFormula>
    </tableColumn>
    <tableColumn id="4" xr3:uid="{A1FE9037-A0FE-4155-9A54-BDB13596F149}" name="Difference" totalsRowFunction="sum" dataDxfId="18" totalsRowDxfId="17">
      <calculatedColumnFormula>PersonalCare197215228300313365[[#This Row],[Projected 
cost]]-PersonalCare197215228300313365[[#This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ables/table2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5" xr:uid="{082E6D2C-A127-4773-BA51-0E0219546C72}" name="Legal198216229301314366" displayName="Legal198216229301314366" ref="F87:I92" totalsRowCount="1" headerRowDxfId="16" dataDxfId="14" totalsRowDxfId="13" headerRowBorderDxfId="15" totalsRowBorderDxfId="12">
  <autoFilter ref="F87:I91" xr:uid="{CE9CF11C-4460-46D8-B94F-D7DB1A431F85}"/>
  <tableColumns count="4">
    <tableColumn id="1" xr3:uid="{CBB7E87D-28BB-4A76-B047-3A2D1F6B9765}" name="Category" totalsRowLabel="Subtotal" dataDxfId="11" totalsRowDxfId="10"/>
    <tableColumn id="2" xr3:uid="{BF294C42-24D0-4DAC-85FC-EB5826D8FC45}" name="Projected _x000a_cost" totalsRowFunction="custom" dataDxfId="9" totalsRowDxfId="8">
      <totalsRowFormula>SUM(Legal198216229301314366[Projected 
cost])</totalsRowFormula>
    </tableColumn>
    <tableColumn id="3" xr3:uid="{A0EEC817-7493-404B-BAC2-4C25CFD7BF5D}" name="Actual _x000a_cost" totalsRowFunction="custom" dataDxfId="7" totalsRowDxfId="6">
      <totalsRowFormula>SUM(Legal198216229301314366[Actual 
cost])</totalsRowFormula>
    </tableColumn>
    <tableColumn id="4" xr3:uid="{1FA97C3A-70E3-4F98-BAB9-A6E5B9536FB2}" name="Difference" totalsRowFunction="sum" dataDxfId="5" totalsRowDxfId="4">
      <calculatedColumnFormula>Legal198216229301314366[[#This Row],[Projected 
cost]]-Legal198216229301314366[[#This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2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6" xr:uid="{1116B6C9-2166-49C2-A7B3-370C5C8F279B}" name="Table176199217230302315367" displayName="Table176199217230302315367" ref="J52:J63" totalsRowShown="0" headerRowDxfId="3" dataDxfId="2">
  <autoFilter ref="J52:J63" xr:uid="{84D7483B-0AA3-443D-B077-CB614166CB8E}"/>
  <tableColumns count="1">
    <tableColumn id="1" xr3:uid="{A2950313-D1F2-4972-9D64-CB565B4A6517}" name="Total Amount Owed" dataDxfId="1"/>
  </tableColumns>
  <tableStyleInfo name="Address Book" showFirstColumn="0" showLastColumn="0" showRowStripes="1" showColumnStripes="0"/>
</table>
</file>

<file path=xl/tables/table2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3" xr:uid="{A561DCD3-BC09-421B-B3CC-E81EE14A77B4}" name="Table1516116270274278282286368372376380384" displayName="Table1516116270274278282286368372376380384" ref="C3:E40" totalsRowShown="0" headerRowCellStyle="Currency" dataCellStyle="Currency">
  <autoFilter ref="C3:E40" xr:uid="{A2C35252-D38E-4A14-BF19-C14532D2BA19}"/>
  <tableColumns count="3">
    <tableColumn id="1" xr3:uid="{2366C0E4-AC80-4319-871F-B2584D1184F1}" name="Credit Card Balances " dataCellStyle="Currency">
      <calculatedColumnFormula>#REF!</calculatedColumnFormula>
    </tableColumn>
    <tableColumn id="2" xr3:uid="{A851C7B7-21EB-4E66-877D-00B6B3546473}" name="Budgeted Amount" dataCellStyle="Currency"/>
    <tableColumn id="3" xr3:uid="{6328C051-7FC1-4F42-99BE-440899057DDC}" name="Interest" dataDxfId="0" dataCellStyle="Percent"/>
  </tableColumns>
  <tableStyleInfo name="TableStyleMedium2" showFirstColumn="0" showLastColumn="0" showRowStripes="1" showColumnStripes="0"/>
</table>
</file>

<file path=xl/tables/table2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4" xr:uid="{D6741712-CCFB-486B-B8E0-5DA464E3898F}" name="Table17218271275279283287369373377381385" displayName="Table17218271275279283287369373377381385" ref="B3:B40" totalsRowShown="0" headerRowCellStyle="Currency" dataCellStyle="Currency">
  <autoFilter ref="B3:B40" xr:uid="{84E0FCCA-604E-4CFC-A3ED-829019A207A1}"/>
  <tableColumns count="1">
    <tableColumn id="1" xr3:uid="{194090BB-462B-43C1-A444-513FE23079C8}" name="Credit Card " dataCellStyle="Currency"/>
  </tableColumns>
  <tableStyleInfo name="TableStyleMedium2" showFirstColumn="0" showLastColumn="0" showRowStripes="1" showColumnStripes="0"/>
</table>
</file>

<file path=xl/tables/table2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5" xr:uid="{2F9933DF-5D0E-4DCA-BDAB-41758692D0C0}" name="Table175200202174272276280284288370374378382386" displayName="Table175200202174272276280284288370374378382386" ref="B44:G65" totalsRowShown="0">
  <autoFilter ref="B44:G65" xr:uid="{22F8BEB6-9F00-4EC8-9EC9-8638209FE1D0}"/>
  <tableColumns count="6">
    <tableColumn id="1" xr3:uid="{BB8AE3C1-FA03-4B8D-8454-400F49013AB5}" name="Lender"/>
    <tableColumn id="6" xr3:uid="{A6E75426-F9CC-482D-AD28-A7276827267C}" name="Loan Type"/>
    <tableColumn id="5" xr3:uid="{89782BAB-F2A1-4E38-894C-247F4E971D7C}" name="Loan Amount" dataCellStyle="Currency"/>
    <tableColumn id="2" xr3:uid="{FC2199E5-D600-45CE-8BFF-AC5D203122CE}" name="Interest"/>
    <tableColumn id="3" xr3:uid="{99ECD1BA-F139-4C01-B9FB-CEC317112C9D}" name="Budgeted Amount" dataCellStyle="Currency"/>
    <tableColumn id="4" xr3:uid="{7831B886-BBA5-46FE-ACE7-553F786EFF4E}" name="Link "/>
  </tableColumns>
  <tableStyleInfo name="TableStyleMedium2" showFirstColumn="0" showLastColumn="0" showRowStripes="1" showColumnStripes="0"/>
</table>
</file>

<file path=xl/tables/table2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6" xr:uid="{EFF0F6DB-6FE7-433B-A306-4AB2B3E2ED23}" name="Table177273277281285289371375379383387" displayName="Table177273277281285289371375379383387" ref="F3:F41" totalsRowShown="0">
  <autoFilter ref="F3:F41" xr:uid="{521A51DA-26B2-4803-931E-53A3500E395A}"/>
  <tableColumns count="1">
    <tableColumn id="1" xr3:uid="{9BE7A910-8EB2-44D8-A6B9-6E0F9C771831}" name="Links"/>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3" Type="http://schemas.openxmlformats.org/officeDocument/2006/relationships/table" Target="../tables/table3.xml"/><Relationship Id="rId7" Type="http://schemas.openxmlformats.org/officeDocument/2006/relationships/table" Target="../tables/table7.xml"/><Relationship Id="rId12" Type="http://schemas.openxmlformats.org/officeDocument/2006/relationships/table" Target="../tables/table12.xml"/><Relationship Id="rId2" Type="http://schemas.openxmlformats.org/officeDocument/2006/relationships/table" Target="../tables/table2.xml"/><Relationship Id="rId1" Type="http://schemas.openxmlformats.org/officeDocument/2006/relationships/drawing" Target="../drawings/drawing2.xml"/><Relationship Id="rId6" Type="http://schemas.openxmlformats.org/officeDocument/2006/relationships/table" Target="../tables/table6.xml"/><Relationship Id="rId11" Type="http://schemas.openxmlformats.org/officeDocument/2006/relationships/table" Target="../tables/table11.xml"/><Relationship Id="rId5" Type="http://schemas.openxmlformats.org/officeDocument/2006/relationships/table" Target="../tables/table5.xml"/><Relationship Id="rId10" Type="http://schemas.openxmlformats.org/officeDocument/2006/relationships/table" Target="../tables/table10.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s>
</file>

<file path=xl/worksheets/_rels/sheet3.xml.rels><?xml version="1.0" encoding="UTF-8" standalone="yes"?>
<Relationships xmlns="http://schemas.openxmlformats.org/package/2006/relationships"><Relationship Id="rId8" Type="http://schemas.openxmlformats.org/officeDocument/2006/relationships/table" Target="../tables/table18.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17.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6.xml"/><Relationship Id="rId5" Type="http://schemas.openxmlformats.org/officeDocument/2006/relationships/table" Target="../tables/table15.xm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8" Type="http://schemas.openxmlformats.org/officeDocument/2006/relationships/table" Target="../tables/table25.xml"/><Relationship Id="rId13" Type="http://schemas.openxmlformats.org/officeDocument/2006/relationships/table" Target="../tables/table30.xml"/><Relationship Id="rId3" Type="http://schemas.openxmlformats.org/officeDocument/2006/relationships/table" Target="../tables/table20.xml"/><Relationship Id="rId7" Type="http://schemas.openxmlformats.org/officeDocument/2006/relationships/table" Target="../tables/table24.xml"/><Relationship Id="rId12" Type="http://schemas.openxmlformats.org/officeDocument/2006/relationships/table" Target="../tables/table29.xml"/><Relationship Id="rId2" Type="http://schemas.openxmlformats.org/officeDocument/2006/relationships/table" Target="../tables/table19.xml"/><Relationship Id="rId1" Type="http://schemas.openxmlformats.org/officeDocument/2006/relationships/drawing" Target="../drawings/drawing4.xml"/><Relationship Id="rId6" Type="http://schemas.openxmlformats.org/officeDocument/2006/relationships/table" Target="../tables/table23.xml"/><Relationship Id="rId11" Type="http://schemas.openxmlformats.org/officeDocument/2006/relationships/table" Target="../tables/table28.xml"/><Relationship Id="rId5" Type="http://schemas.openxmlformats.org/officeDocument/2006/relationships/table" Target="../tables/table22.xml"/><Relationship Id="rId10" Type="http://schemas.openxmlformats.org/officeDocument/2006/relationships/table" Target="../tables/table27.xml"/><Relationship Id="rId4" Type="http://schemas.openxmlformats.org/officeDocument/2006/relationships/table" Target="../tables/table21.xml"/><Relationship Id="rId9" Type="http://schemas.openxmlformats.org/officeDocument/2006/relationships/table" Target="../tables/table26.xml"/><Relationship Id="rId14" Type="http://schemas.openxmlformats.org/officeDocument/2006/relationships/table" Target="../tables/table31.xml"/></Relationships>
</file>

<file path=xl/worksheets/_rels/sheet5.xml.rels><?xml version="1.0" encoding="UTF-8" standalone="yes"?>
<Relationships xmlns="http://schemas.openxmlformats.org/package/2006/relationships"><Relationship Id="rId8" Type="http://schemas.openxmlformats.org/officeDocument/2006/relationships/table" Target="../tables/table35.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34.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33.xml"/><Relationship Id="rId5" Type="http://schemas.openxmlformats.org/officeDocument/2006/relationships/table" Target="../tables/table32.x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8" Type="http://schemas.openxmlformats.org/officeDocument/2006/relationships/table" Target="../tables/table42.xml"/><Relationship Id="rId13" Type="http://schemas.openxmlformats.org/officeDocument/2006/relationships/table" Target="../tables/table47.xml"/><Relationship Id="rId3" Type="http://schemas.openxmlformats.org/officeDocument/2006/relationships/table" Target="../tables/table37.xml"/><Relationship Id="rId7" Type="http://schemas.openxmlformats.org/officeDocument/2006/relationships/table" Target="../tables/table41.xml"/><Relationship Id="rId12" Type="http://schemas.openxmlformats.org/officeDocument/2006/relationships/table" Target="../tables/table46.xml"/><Relationship Id="rId2" Type="http://schemas.openxmlformats.org/officeDocument/2006/relationships/table" Target="../tables/table36.xml"/><Relationship Id="rId1" Type="http://schemas.openxmlformats.org/officeDocument/2006/relationships/drawing" Target="../drawings/drawing6.xml"/><Relationship Id="rId6" Type="http://schemas.openxmlformats.org/officeDocument/2006/relationships/table" Target="../tables/table40.xml"/><Relationship Id="rId11" Type="http://schemas.openxmlformats.org/officeDocument/2006/relationships/table" Target="../tables/table45.xml"/><Relationship Id="rId5" Type="http://schemas.openxmlformats.org/officeDocument/2006/relationships/table" Target="../tables/table39.xml"/><Relationship Id="rId10" Type="http://schemas.openxmlformats.org/officeDocument/2006/relationships/table" Target="../tables/table44.xml"/><Relationship Id="rId4" Type="http://schemas.openxmlformats.org/officeDocument/2006/relationships/table" Target="../tables/table38.xml"/><Relationship Id="rId9" Type="http://schemas.openxmlformats.org/officeDocument/2006/relationships/table" Target="../tables/table43.xml"/><Relationship Id="rId14" Type="http://schemas.openxmlformats.org/officeDocument/2006/relationships/table" Target="../tables/table48.xml"/></Relationships>
</file>

<file path=xl/worksheets/_rels/sheet7.xml.rels><?xml version="1.0" encoding="UTF-8" standalone="yes"?>
<Relationships xmlns="http://schemas.openxmlformats.org/package/2006/relationships"><Relationship Id="rId8" Type="http://schemas.openxmlformats.org/officeDocument/2006/relationships/table" Target="../tables/table52.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51.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50.xml"/><Relationship Id="rId5" Type="http://schemas.openxmlformats.org/officeDocument/2006/relationships/table" Target="../tables/table49.xml"/><Relationship Id="rId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8" Type="http://schemas.openxmlformats.org/officeDocument/2006/relationships/table" Target="../tables/table59.xml"/><Relationship Id="rId13" Type="http://schemas.openxmlformats.org/officeDocument/2006/relationships/table" Target="../tables/table64.xml"/><Relationship Id="rId3" Type="http://schemas.openxmlformats.org/officeDocument/2006/relationships/table" Target="../tables/table54.xml"/><Relationship Id="rId7" Type="http://schemas.openxmlformats.org/officeDocument/2006/relationships/table" Target="../tables/table58.xml"/><Relationship Id="rId12" Type="http://schemas.openxmlformats.org/officeDocument/2006/relationships/table" Target="../tables/table63.xml"/><Relationship Id="rId2" Type="http://schemas.openxmlformats.org/officeDocument/2006/relationships/table" Target="../tables/table53.xml"/><Relationship Id="rId1" Type="http://schemas.openxmlformats.org/officeDocument/2006/relationships/drawing" Target="../drawings/drawing8.xml"/><Relationship Id="rId6" Type="http://schemas.openxmlformats.org/officeDocument/2006/relationships/table" Target="../tables/table57.xml"/><Relationship Id="rId11" Type="http://schemas.openxmlformats.org/officeDocument/2006/relationships/table" Target="../tables/table62.xml"/><Relationship Id="rId5" Type="http://schemas.openxmlformats.org/officeDocument/2006/relationships/table" Target="../tables/table56.xml"/><Relationship Id="rId10" Type="http://schemas.openxmlformats.org/officeDocument/2006/relationships/table" Target="../tables/table61.xml"/><Relationship Id="rId4" Type="http://schemas.openxmlformats.org/officeDocument/2006/relationships/table" Target="../tables/table55.xml"/><Relationship Id="rId9" Type="http://schemas.openxmlformats.org/officeDocument/2006/relationships/table" Target="../tables/table60.xml"/><Relationship Id="rId14" Type="http://schemas.openxmlformats.org/officeDocument/2006/relationships/table" Target="../tables/table6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69.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68.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67.xml"/><Relationship Id="rId5" Type="http://schemas.openxmlformats.org/officeDocument/2006/relationships/table" Target="../tables/table66.xml"/><Relationship Id="rId4"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8" Type="http://schemas.openxmlformats.org/officeDocument/2006/relationships/table" Target="../tables/table76.xml"/><Relationship Id="rId13" Type="http://schemas.openxmlformats.org/officeDocument/2006/relationships/table" Target="../tables/table81.xml"/><Relationship Id="rId3" Type="http://schemas.openxmlformats.org/officeDocument/2006/relationships/table" Target="../tables/table71.xml"/><Relationship Id="rId7" Type="http://schemas.openxmlformats.org/officeDocument/2006/relationships/table" Target="../tables/table75.xml"/><Relationship Id="rId12" Type="http://schemas.openxmlformats.org/officeDocument/2006/relationships/table" Target="../tables/table80.xml"/><Relationship Id="rId2" Type="http://schemas.openxmlformats.org/officeDocument/2006/relationships/table" Target="../tables/table70.xml"/><Relationship Id="rId1" Type="http://schemas.openxmlformats.org/officeDocument/2006/relationships/drawing" Target="../drawings/drawing10.xml"/><Relationship Id="rId6" Type="http://schemas.openxmlformats.org/officeDocument/2006/relationships/table" Target="../tables/table74.xml"/><Relationship Id="rId11" Type="http://schemas.openxmlformats.org/officeDocument/2006/relationships/table" Target="../tables/table79.xml"/><Relationship Id="rId5" Type="http://schemas.openxmlformats.org/officeDocument/2006/relationships/table" Target="../tables/table73.xml"/><Relationship Id="rId10" Type="http://schemas.openxmlformats.org/officeDocument/2006/relationships/table" Target="../tables/table78.xml"/><Relationship Id="rId4" Type="http://schemas.openxmlformats.org/officeDocument/2006/relationships/table" Target="../tables/table72.xml"/><Relationship Id="rId9" Type="http://schemas.openxmlformats.org/officeDocument/2006/relationships/table" Target="../tables/table77.xml"/><Relationship Id="rId14" Type="http://schemas.openxmlformats.org/officeDocument/2006/relationships/table" Target="../tables/table82.xml"/></Relationships>
</file>

<file path=xl/worksheets/_rels/sheet11.xml.rels><?xml version="1.0" encoding="UTF-8" standalone="yes"?>
<Relationships xmlns="http://schemas.openxmlformats.org/package/2006/relationships"><Relationship Id="rId8" Type="http://schemas.openxmlformats.org/officeDocument/2006/relationships/table" Target="../tables/table86.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85.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84.xml"/><Relationship Id="rId5" Type="http://schemas.openxmlformats.org/officeDocument/2006/relationships/table" Target="../tables/table83.xml"/><Relationship Id="rId4"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8" Type="http://schemas.openxmlformats.org/officeDocument/2006/relationships/table" Target="../tables/table93.xml"/><Relationship Id="rId13" Type="http://schemas.openxmlformats.org/officeDocument/2006/relationships/table" Target="../tables/table98.xml"/><Relationship Id="rId3" Type="http://schemas.openxmlformats.org/officeDocument/2006/relationships/table" Target="../tables/table88.xml"/><Relationship Id="rId7" Type="http://schemas.openxmlformats.org/officeDocument/2006/relationships/table" Target="../tables/table92.xml"/><Relationship Id="rId12" Type="http://schemas.openxmlformats.org/officeDocument/2006/relationships/table" Target="../tables/table97.xml"/><Relationship Id="rId2" Type="http://schemas.openxmlformats.org/officeDocument/2006/relationships/table" Target="../tables/table87.xml"/><Relationship Id="rId1" Type="http://schemas.openxmlformats.org/officeDocument/2006/relationships/drawing" Target="../drawings/drawing12.xml"/><Relationship Id="rId6" Type="http://schemas.openxmlformats.org/officeDocument/2006/relationships/table" Target="../tables/table91.xml"/><Relationship Id="rId11" Type="http://schemas.openxmlformats.org/officeDocument/2006/relationships/table" Target="../tables/table96.xml"/><Relationship Id="rId5" Type="http://schemas.openxmlformats.org/officeDocument/2006/relationships/table" Target="../tables/table90.xml"/><Relationship Id="rId10" Type="http://schemas.openxmlformats.org/officeDocument/2006/relationships/table" Target="../tables/table95.xml"/><Relationship Id="rId4" Type="http://schemas.openxmlformats.org/officeDocument/2006/relationships/table" Target="../tables/table89.xml"/><Relationship Id="rId9" Type="http://schemas.openxmlformats.org/officeDocument/2006/relationships/table" Target="../tables/table94.xml"/><Relationship Id="rId14" Type="http://schemas.openxmlformats.org/officeDocument/2006/relationships/table" Target="../tables/table99.xml"/></Relationships>
</file>

<file path=xl/worksheets/_rels/sheet13.xml.rels><?xml version="1.0" encoding="UTF-8" standalone="yes"?>
<Relationships xmlns="http://schemas.openxmlformats.org/package/2006/relationships"><Relationship Id="rId8" Type="http://schemas.openxmlformats.org/officeDocument/2006/relationships/table" Target="../tables/table103.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102.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01.xml"/><Relationship Id="rId5" Type="http://schemas.openxmlformats.org/officeDocument/2006/relationships/table" Target="../tables/table100.xml"/><Relationship Id="rId4"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8" Type="http://schemas.openxmlformats.org/officeDocument/2006/relationships/table" Target="../tables/table110.xml"/><Relationship Id="rId13" Type="http://schemas.openxmlformats.org/officeDocument/2006/relationships/table" Target="../tables/table115.xml"/><Relationship Id="rId3" Type="http://schemas.openxmlformats.org/officeDocument/2006/relationships/table" Target="../tables/table105.xml"/><Relationship Id="rId7" Type="http://schemas.openxmlformats.org/officeDocument/2006/relationships/table" Target="../tables/table109.xml"/><Relationship Id="rId12" Type="http://schemas.openxmlformats.org/officeDocument/2006/relationships/table" Target="../tables/table114.xml"/><Relationship Id="rId2" Type="http://schemas.openxmlformats.org/officeDocument/2006/relationships/table" Target="../tables/table104.xml"/><Relationship Id="rId1" Type="http://schemas.openxmlformats.org/officeDocument/2006/relationships/drawing" Target="../drawings/drawing14.xml"/><Relationship Id="rId6" Type="http://schemas.openxmlformats.org/officeDocument/2006/relationships/table" Target="../tables/table108.xml"/><Relationship Id="rId11" Type="http://schemas.openxmlformats.org/officeDocument/2006/relationships/table" Target="../tables/table113.xml"/><Relationship Id="rId5" Type="http://schemas.openxmlformats.org/officeDocument/2006/relationships/table" Target="../tables/table107.xml"/><Relationship Id="rId10" Type="http://schemas.openxmlformats.org/officeDocument/2006/relationships/table" Target="../tables/table112.xml"/><Relationship Id="rId4" Type="http://schemas.openxmlformats.org/officeDocument/2006/relationships/table" Target="../tables/table106.xml"/><Relationship Id="rId9" Type="http://schemas.openxmlformats.org/officeDocument/2006/relationships/table" Target="../tables/table111.xml"/><Relationship Id="rId14" Type="http://schemas.openxmlformats.org/officeDocument/2006/relationships/table" Target="../tables/table116.xml"/></Relationships>
</file>

<file path=xl/worksheets/_rels/sheet15.xml.rels><?xml version="1.0" encoding="UTF-8" standalone="yes"?>
<Relationships xmlns="http://schemas.openxmlformats.org/package/2006/relationships"><Relationship Id="rId8" Type="http://schemas.openxmlformats.org/officeDocument/2006/relationships/table" Target="../tables/table120.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119.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18.xml"/><Relationship Id="rId5" Type="http://schemas.openxmlformats.org/officeDocument/2006/relationships/table" Target="../tables/table117.xml"/><Relationship Id="rId4"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8" Type="http://schemas.openxmlformats.org/officeDocument/2006/relationships/table" Target="../tables/table127.xml"/><Relationship Id="rId13" Type="http://schemas.openxmlformats.org/officeDocument/2006/relationships/table" Target="../tables/table132.xml"/><Relationship Id="rId3" Type="http://schemas.openxmlformats.org/officeDocument/2006/relationships/table" Target="../tables/table122.xml"/><Relationship Id="rId7" Type="http://schemas.openxmlformats.org/officeDocument/2006/relationships/table" Target="../tables/table126.xml"/><Relationship Id="rId12" Type="http://schemas.openxmlformats.org/officeDocument/2006/relationships/table" Target="../tables/table131.xml"/><Relationship Id="rId2" Type="http://schemas.openxmlformats.org/officeDocument/2006/relationships/table" Target="../tables/table121.xml"/><Relationship Id="rId1" Type="http://schemas.openxmlformats.org/officeDocument/2006/relationships/drawing" Target="../drawings/drawing16.xml"/><Relationship Id="rId6" Type="http://schemas.openxmlformats.org/officeDocument/2006/relationships/table" Target="../tables/table125.xml"/><Relationship Id="rId11" Type="http://schemas.openxmlformats.org/officeDocument/2006/relationships/table" Target="../tables/table130.xml"/><Relationship Id="rId5" Type="http://schemas.openxmlformats.org/officeDocument/2006/relationships/table" Target="../tables/table124.xml"/><Relationship Id="rId10" Type="http://schemas.openxmlformats.org/officeDocument/2006/relationships/table" Target="../tables/table129.xml"/><Relationship Id="rId4" Type="http://schemas.openxmlformats.org/officeDocument/2006/relationships/table" Target="../tables/table123.xml"/><Relationship Id="rId9" Type="http://schemas.openxmlformats.org/officeDocument/2006/relationships/table" Target="../tables/table128.xml"/><Relationship Id="rId14" Type="http://schemas.openxmlformats.org/officeDocument/2006/relationships/table" Target="../tables/table133.xml"/></Relationships>
</file>

<file path=xl/worksheets/_rels/sheet17.xml.rels><?xml version="1.0" encoding="UTF-8" standalone="yes"?>
<Relationships xmlns="http://schemas.openxmlformats.org/package/2006/relationships"><Relationship Id="rId8" Type="http://schemas.openxmlformats.org/officeDocument/2006/relationships/table" Target="../tables/table137.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136.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35.xml"/><Relationship Id="rId5" Type="http://schemas.openxmlformats.org/officeDocument/2006/relationships/table" Target="../tables/table134.xml"/><Relationship Id="rId4"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8" Type="http://schemas.openxmlformats.org/officeDocument/2006/relationships/table" Target="../tables/table144.xml"/><Relationship Id="rId13" Type="http://schemas.openxmlformats.org/officeDocument/2006/relationships/table" Target="../tables/table149.xml"/><Relationship Id="rId3" Type="http://schemas.openxmlformats.org/officeDocument/2006/relationships/table" Target="../tables/table139.xml"/><Relationship Id="rId7" Type="http://schemas.openxmlformats.org/officeDocument/2006/relationships/table" Target="../tables/table143.xml"/><Relationship Id="rId12" Type="http://schemas.openxmlformats.org/officeDocument/2006/relationships/table" Target="../tables/table148.xml"/><Relationship Id="rId2" Type="http://schemas.openxmlformats.org/officeDocument/2006/relationships/table" Target="../tables/table138.xml"/><Relationship Id="rId1" Type="http://schemas.openxmlformats.org/officeDocument/2006/relationships/drawing" Target="../drawings/drawing18.xml"/><Relationship Id="rId6" Type="http://schemas.openxmlformats.org/officeDocument/2006/relationships/table" Target="../tables/table142.xml"/><Relationship Id="rId11" Type="http://schemas.openxmlformats.org/officeDocument/2006/relationships/table" Target="../tables/table147.xml"/><Relationship Id="rId5" Type="http://schemas.openxmlformats.org/officeDocument/2006/relationships/table" Target="../tables/table141.xml"/><Relationship Id="rId10" Type="http://schemas.openxmlformats.org/officeDocument/2006/relationships/table" Target="../tables/table146.xml"/><Relationship Id="rId4" Type="http://schemas.openxmlformats.org/officeDocument/2006/relationships/table" Target="../tables/table140.xml"/><Relationship Id="rId9" Type="http://schemas.openxmlformats.org/officeDocument/2006/relationships/table" Target="../tables/table145.xml"/><Relationship Id="rId14" Type="http://schemas.openxmlformats.org/officeDocument/2006/relationships/table" Target="../tables/table150.xml"/></Relationships>
</file>

<file path=xl/worksheets/_rels/sheet19.xml.rels><?xml version="1.0" encoding="UTF-8" standalone="yes"?>
<Relationships xmlns="http://schemas.openxmlformats.org/package/2006/relationships"><Relationship Id="rId8" Type="http://schemas.openxmlformats.org/officeDocument/2006/relationships/table" Target="../tables/table154.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153.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52.xml"/><Relationship Id="rId5" Type="http://schemas.openxmlformats.org/officeDocument/2006/relationships/table" Target="../tables/table151.xml"/><Relationship Id="rId4"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8" Type="http://schemas.openxmlformats.org/officeDocument/2006/relationships/table" Target="../tables/table161.xml"/><Relationship Id="rId13" Type="http://schemas.openxmlformats.org/officeDocument/2006/relationships/table" Target="../tables/table166.xml"/><Relationship Id="rId3" Type="http://schemas.openxmlformats.org/officeDocument/2006/relationships/table" Target="../tables/table156.xml"/><Relationship Id="rId7" Type="http://schemas.openxmlformats.org/officeDocument/2006/relationships/table" Target="../tables/table160.xml"/><Relationship Id="rId12" Type="http://schemas.openxmlformats.org/officeDocument/2006/relationships/table" Target="../tables/table165.xml"/><Relationship Id="rId2" Type="http://schemas.openxmlformats.org/officeDocument/2006/relationships/table" Target="../tables/table155.xml"/><Relationship Id="rId1" Type="http://schemas.openxmlformats.org/officeDocument/2006/relationships/drawing" Target="../drawings/drawing20.xml"/><Relationship Id="rId6" Type="http://schemas.openxmlformats.org/officeDocument/2006/relationships/table" Target="../tables/table159.xml"/><Relationship Id="rId11" Type="http://schemas.openxmlformats.org/officeDocument/2006/relationships/table" Target="../tables/table164.xml"/><Relationship Id="rId5" Type="http://schemas.openxmlformats.org/officeDocument/2006/relationships/table" Target="../tables/table158.xml"/><Relationship Id="rId10" Type="http://schemas.openxmlformats.org/officeDocument/2006/relationships/table" Target="../tables/table163.xml"/><Relationship Id="rId4" Type="http://schemas.openxmlformats.org/officeDocument/2006/relationships/table" Target="../tables/table157.xml"/><Relationship Id="rId9" Type="http://schemas.openxmlformats.org/officeDocument/2006/relationships/table" Target="../tables/table162.xml"/><Relationship Id="rId14" Type="http://schemas.openxmlformats.org/officeDocument/2006/relationships/table" Target="../tables/table167.xml"/></Relationships>
</file>

<file path=xl/worksheets/_rels/sheet21.xml.rels><?xml version="1.0" encoding="UTF-8" standalone="yes"?>
<Relationships xmlns="http://schemas.openxmlformats.org/package/2006/relationships"><Relationship Id="rId8" Type="http://schemas.openxmlformats.org/officeDocument/2006/relationships/table" Target="../tables/table174.xml"/><Relationship Id="rId13" Type="http://schemas.openxmlformats.org/officeDocument/2006/relationships/table" Target="../tables/table179.xml"/><Relationship Id="rId3" Type="http://schemas.openxmlformats.org/officeDocument/2006/relationships/table" Target="../tables/table169.xml"/><Relationship Id="rId7" Type="http://schemas.openxmlformats.org/officeDocument/2006/relationships/table" Target="../tables/table173.xml"/><Relationship Id="rId12" Type="http://schemas.openxmlformats.org/officeDocument/2006/relationships/table" Target="../tables/table178.xml"/><Relationship Id="rId2" Type="http://schemas.openxmlformats.org/officeDocument/2006/relationships/table" Target="../tables/table168.xml"/><Relationship Id="rId1" Type="http://schemas.openxmlformats.org/officeDocument/2006/relationships/drawing" Target="../drawings/drawing21.xml"/><Relationship Id="rId6" Type="http://schemas.openxmlformats.org/officeDocument/2006/relationships/table" Target="../tables/table172.xml"/><Relationship Id="rId11" Type="http://schemas.openxmlformats.org/officeDocument/2006/relationships/table" Target="../tables/table177.xml"/><Relationship Id="rId5" Type="http://schemas.openxmlformats.org/officeDocument/2006/relationships/table" Target="../tables/table171.xml"/><Relationship Id="rId10" Type="http://schemas.openxmlformats.org/officeDocument/2006/relationships/table" Target="../tables/table176.xml"/><Relationship Id="rId4" Type="http://schemas.openxmlformats.org/officeDocument/2006/relationships/table" Target="../tables/table170.xml"/><Relationship Id="rId9" Type="http://schemas.openxmlformats.org/officeDocument/2006/relationships/table" Target="../tables/table175.xml"/><Relationship Id="rId14" Type="http://schemas.openxmlformats.org/officeDocument/2006/relationships/table" Target="../tables/table180.xml"/></Relationships>
</file>

<file path=xl/worksheets/_rels/sheet22.xml.rels><?xml version="1.0" encoding="UTF-8" standalone="yes"?>
<Relationships xmlns="http://schemas.openxmlformats.org/package/2006/relationships"><Relationship Id="rId8" Type="http://schemas.openxmlformats.org/officeDocument/2006/relationships/table" Target="../tables/table184.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183.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82.xml"/><Relationship Id="rId5" Type="http://schemas.openxmlformats.org/officeDocument/2006/relationships/table" Target="../tables/table181.xml"/><Relationship Id="rId4" Type="http://schemas.openxmlformats.org/officeDocument/2006/relationships/drawing" Target="../drawings/drawing22.xml"/></Relationships>
</file>

<file path=xl/worksheets/_rels/sheet23.xml.rels><?xml version="1.0" encoding="UTF-8" standalone="yes"?>
<Relationships xmlns="http://schemas.openxmlformats.org/package/2006/relationships"><Relationship Id="rId8" Type="http://schemas.openxmlformats.org/officeDocument/2006/relationships/table" Target="../tables/table191.xml"/><Relationship Id="rId13" Type="http://schemas.openxmlformats.org/officeDocument/2006/relationships/table" Target="../tables/table196.xml"/><Relationship Id="rId3" Type="http://schemas.openxmlformats.org/officeDocument/2006/relationships/table" Target="../tables/table186.xml"/><Relationship Id="rId7" Type="http://schemas.openxmlformats.org/officeDocument/2006/relationships/table" Target="../tables/table190.xml"/><Relationship Id="rId12" Type="http://schemas.openxmlformats.org/officeDocument/2006/relationships/table" Target="../tables/table195.xml"/><Relationship Id="rId2" Type="http://schemas.openxmlformats.org/officeDocument/2006/relationships/table" Target="../tables/table185.xml"/><Relationship Id="rId1" Type="http://schemas.openxmlformats.org/officeDocument/2006/relationships/drawing" Target="../drawings/drawing23.xml"/><Relationship Id="rId6" Type="http://schemas.openxmlformats.org/officeDocument/2006/relationships/table" Target="../tables/table189.xml"/><Relationship Id="rId11" Type="http://schemas.openxmlformats.org/officeDocument/2006/relationships/table" Target="../tables/table194.xml"/><Relationship Id="rId5" Type="http://schemas.openxmlformats.org/officeDocument/2006/relationships/table" Target="../tables/table188.xml"/><Relationship Id="rId10" Type="http://schemas.openxmlformats.org/officeDocument/2006/relationships/table" Target="../tables/table193.xml"/><Relationship Id="rId4" Type="http://schemas.openxmlformats.org/officeDocument/2006/relationships/table" Target="../tables/table187.xml"/><Relationship Id="rId9" Type="http://schemas.openxmlformats.org/officeDocument/2006/relationships/table" Target="../tables/table192.xml"/><Relationship Id="rId14" Type="http://schemas.openxmlformats.org/officeDocument/2006/relationships/table" Target="../tables/table197.xml"/></Relationships>
</file>

<file path=xl/worksheets/_rels/sheet24.xml.rels><?xml version="1.0" encoding="UTF-8" standalone="yes"?>
<Relationships xmlns="http://schemas.openxmlformats.org/package/2006/relationships"><Relationship Id="rId8" Type="http://schemas.openxmlformats.org/officeDocument/2006/relationships/table" Target="../tables/table201.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200.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199.xml"/><Relationship Id="rId5" Type="http://schemas.openxmlformats.org/officeDocument/2006/relationships/table" Target="../tables/table198.xml"/><Relationship Id="rId4"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8" Type="http://schemas.openxmlformats.org/officeDocument/2006/relationships/table" Target="../tables/table208.xml"/><Relationship Id="rId13" Type="http://schemas.openxmlformats.org/officeDocument/2006/relationships/table" Target="../tables/table213.xml"/><Relationship Id="rId3" Type="http://schemas.openxmlformats.org/officeDocument/2006/relationships/table" Target="../tables/table203.xml"/><Relationship Id="rId7" Type="http://schemas.openxmlformats.org/officeDocument/2006/relationships/table" Target="../tables/table207.xml"/><Relationship Id="rId12" Type="http://schemas.openxmlformats.org/officeDocument/2006/relationships/table" Target="../tables/table212.xml"/><Relationship Id="rId2" Type="http://schemas.openxmlformats.org/officeDocument/2006/relationships/table" Target="../tables/table202.xml"/><Relationship Id="rId1" Type="http://schemas.openxmlformats.org/officeDocument/2006/relationships/drawing" Target="../drawings/drawing25.xml"/><Relationship Id="rId6" Type="http://schemas.openxmlformats.org/officeDocument/2006/relationships/table" Target="../tables/table206.xml"/><Relationship Id="rId11" Type="http://schemas.openxmlformats.org/officeDocument/2006/relationships/table" Target="../tables/table211.xml"/><Relationship Id="rId5" Type="http://schemas.openxmlformats.org/officeDocument/2006/relationships/table" Target="../tables/table205.xml"/><Relationship Id="rId10" Type="http://schemas.openxmlformats.org/officeDocument/2006/relationships/table" Target="../tables/table210.xml"/><Relationship Id="rId4" Type="http://schemas.openxmlformats.org/officeDocument/2006/relationships/table" Target="../tables/table204.xml"/><Relationship Id="rId9" Type="http://schemas.openxmlformats.org/officeDocument/2006/relationships/table" Target="../tables/table209.xml"/><Relationship Id="rId14" Type="http://schemas.openxmlformats.org/officeDocument/2006/relationships/table" Target="../tables/table214.xml"/></Relationships>
</file>

<file path=xl/worksheets/_rels/sheet26.xml.rels><?xml version="1.0" encoding="UTF-8" standalone="yes"?>
<Relationships xmlns="http://schemas.openxmlformats.org/package/2006/relationships"><Relationship Id="rId8" Type="http://schemas.openxmlformats.org/officeDocument/2006/relationships/table" Target="../tables/table218.xml"/><Relationship Id="rId3" Type="http://schemas.openxmlformats.org/officeDocument/2006/relationships/hyperlink" Target="https://www.consumercredit-dm.com/financialcalculator.aspx?utm_source=google&amp;utm_campaign=11363081508&amp;utm_content=117033294371&amp;utm_term=debt%20calculator%20payoff&amp;utm_medium=630727291408&amp;gad_source=1&amp;gclid=CjwKCAiA9dGqBhAqEiwAmRpTCw9dBgKU00MwjEtkkWWFGHkVyaF5spGGr6EeMPUG-Du83zjUGcrgZhoCOfIQAvD_BwE" TargetMode="External"/><Relationship Id="rId7" Type="http://schemas.openxmlformats.org/officeDocument/2006/relationships/table" Target="../tables/table217.xml"/><Relationship Id="rId2" Type="http://schemas.openxmlformats.org/officeDocument/2006/relationships/hyperlink" Target="https://www.creditkarma.com/calculators/credit-cards/debt-repayment" TargetMode="External"/><Relationship Id="rId1" Type="http://schemas.openxmlformats.org/officeDocument/2006/relationships/hyperlink" Target="https://www.bankrate.com/loans/loan-calculator/" TargetMode="External"/><Relationship Id="rId6" Type="http://schemas.openxmlformats.org/officeDocument/2006/relationships/table" Target="../tables/table216.xml"/><Relationship Id="rId5" Type="http://schemas.openxmlformats.org/officeDocument/2006/relationships/table" Target="../tables/table215.xml"/><Relationship Id="rId4" Type="http://schemas.openxmlformats.org/officeDocument/2006/relationships/drawing" Target="../drawings/drawing2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C4FD8-9DFF-4A9D-A52A-05AEDB6FF267}">
  <dimension ref="A4:S19"/>
  <sheetViews>
    <sheetView zoomScale="78" zoomScaleNormal="78" workbookViewId="0">
      <selection activeCell="G19" sqref="G19"/>
    </sheetView>
  </sheetViews>
  <sheetFormatPr defaultRowHeight="14.6" x14ac:dyDescent="0.4"/>
  <cols>
    <col min="1" max="1" width="14" customWidth="1"/>
    <col min="9" max="9" width="24.3046875" customWidth="1"/>
    <col min="10" max="10" width="31.53515625" customWidth="1"/>
    <col min="12" max="12" width="19.84375" customWidth="1"/>
  </cols>
  <sheetData>
    <row r="4" spans="1:19" x14ac:dyDescent="0.4">
      <c r="A4" s="64" t="s">
        <v>0</v>
      </c>
      <c r="B4" s="65"/>
      <c r="C4" s="65"/>
      <c r="D4" s="65"/>
      <c r="E4" s="65"/>
      <c r="F4" s="65"/>
      <c r="G4" s="65"/>
    </row>
    <row r="5" spans="1:19" x14ac:dyDescent="0.4">
      <c r="A5" s="65"/>
      <c r="B5" s="65"/>
      <c r="C5" s="65"/>
      <c r="D5" s="65"/>
      <c r="E5" s="65"/>
      <c r="F5" s="65"/>
      <c r="G5" s="65"/>
    </row>
    <row r="6" spans="1:19" x14ac:dyDescent="0.4">
      <c r="A6" s="65"/>
      <c r="B6" s="65"/>
      <c r="C6" s="65"/>
      <c r="D6" s="65"/>
      <c r="E6" s="65"/>
      <c r="F6" s="65"/>
      <c r="G6" s="65"/>
    </row>
    <row r="9" spans="1:19" ht="20.6" x14ac:dyDescent="0.55000000000000004">
      <c r="I9" s="6" t="s">
        <v>1</v>
      </c>
      <c r="J9" s="6" t="s">
        <v>2</v>
      </c>
      <c r="L9" s="5"/>
      <c r="M9" s="5"/>
      <c r="N9" s="5"/>
    </row>
    <row r="10" spans="1:19" ht="73" customHeight="1" x14ac:dyDescent="0.9">
      <c r="A10" s="8"/>
      <c r="B10" s="8"/>
      <c r="C10" s="8"/>
      <c r="D10" s="8"/>
      <c r="E10" s="8"/>
      <c r="F10" s="8"/>
      <c r="G10" s="8"/>
      <c r="I10" s="1" t="s">
        <v>3</v>
      </c>
      <c r="J10" s="5" t="s">
        <v>4</v>
      </c>
      <c r="K10" s="5"/>
      <c r="L10" s="5"/>
      <c r="M10" s="5"/>
      <c r="N10" s="5"/>
      <c r="O10" s="5"/>
      <c r="P10" s="5"/>
      <c r="Q10" s="5"/>
      <c r="R10" s="5"/>
      <c r="S10" s="5"/>
    </row>
    <row r="11" spans="1:19" ht="29.15" x14ac:dyDescent="0.4">
      <c r="I11" s="1" t="s">
        <v>5</v>
      </c>
      <c r="J11" s="5" t="s">
        <v>6</v>
      </c>
      <c r="K11" s="5"/>
      <c r="L11" s="5"/>
      <c r="M11" s="5"/>
    </row>
    <row r="12" spans="1:19" ht="29.15" x14ac:dyDescent="0.4">
      <c r="I12" s="1" t="s">
        <v>7</v>
      </c>
      <c r="J12" s="5" t="s">
        <v>8</v>
      </c>
      <c r="K12" s="5"/>
    </row>
    <row r="13" spans="1:19" ht="58.3" x14ac:dyDescent="0.4">
      <c r="I13" s="1" t="s">
        <v>9</v>
      </c>
      <c r="J13" s="5" t="s">
        <v>10</v>
      </c>
    </row>
    <row r="14" spans="1:19" ht="29.15" x14ac:dyDescent="0.4">
      <c r="I14" s="1" t="s">
        <v>11</v>
      </c>
      <c r="J14" s="5" t="s">
        <v>12</v>
      </c>
    </row>
    <row r="15" spans="1:19" ht="43.75" x14ac:dyDescent="0.4">
      <c r="I15" s="1" t="s">
        <v>13</v>
      </c>
      <c r="J15" s="5" t="s">
        <v>14</v>
      </c>
    </row>
    <row r="16" spans="1:19" ht="72.900000000000006" x14ac:dyDescent="0.4">
      <c r="I16" s="1" t="s">
        <v>15</v>
      </c>
      <c r="J16" s="5" t="s">
        <v>16</v>
      </c>
    </row>
    <row r="17" spans="7:10" ht="43.75" x14ac:dyDescent="0.4">
      <c r="I17" s="1" t="s">
        <v>17</v>
      </c>
      <c r="J17" s="5" t="s">
        <v>18</v>
      </c>
    </row>
    <row r="18" spans="7:10" ht="72.900000000000006" x14ac:dyDescent="0.4">
      <c r="I18" s="1" t="s">
        <v>19</v>
      </c>
      <c r="J18" s="5" t="s">
        <v>20</v>
      </c>
    </row>
    <row r="19" spans="7:10" ht="43.75" x14ac:dyDescent="0.4">
      <c r="G19" t="s">
        <v>104</v>
      </c>
      <c r="I19" s="1" t="s">
        <v>21</v>
      </c>
      <c r="J19" s="5" t="s">
        <v>22</v>
      </c>
    </row>
  </sheetData>
  <mergeCells count="1">
    <mergeCell ref="A4:G6"/>
  </mergeCells>
  <pageMargins left="0.7" right="0.7" top="0.75" bottom="0.75" header="0.3" footer="0.3"/>
  <pageSetup orientation="portrait"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40816-3C1C-4ED5-BFC1-83AAB837BCCB}">
  <sheetPr>
    <tabColor rgb="FFFFFF00"/>
  </sheetPr>
  <dimension ref="A1:P150"/>
  <sheetViews>
    <sheetView tabSelected="1" topLeftCell="B84" zoomScale="65" workbookViewId="0">
      <selection activeCell="L115" sqref="L115"/>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11" ht="20.6" x14ac:dyDescent="0.4">
      <c r="A33" s="16" t="s">
        <v>39</v>
      </c>
      <c r="B33" s="18">
        <v>0</v>
      </c>
    </row>
    <row r="34" spans="1:11" ht="18.45" x14ac:dyDescent="0.4">
      <c r="A34" s="19" t="s">
        <v>40</v>
      </c>
      <c r="B34" s="20">
        <v>1000</v>
      </c>
    </row>
    <row r="37" spans="1:11" ht="26.15" x14ac:dyDescent="0.4">
      <c r="A37" s="21" t="s">
        <v>41</v>
      </c>
      <c r="B37" s="22"/>
      <c r="C37" s="23"/>
      <c r="D37" s="23"/>
      <c r="E37" s="24"/>
      <c r="F37" s="22" t="s">
        <v>42</v>
      </c>
      <c r="G37" s="22"/>
      <c r="H37" s="22"/>
      <c r="I37" s="22"/>
      <c r="K37" s="61"/>
    </row>
    <row r="38" spans="1:11" ht="36.9" x14ac:dyDescent="0.45">
      <c r="A38" s="25" t="s">
        <v>43</v>
      </c>
      <c r="B38" s="26" t="s">
        <v>44</v>
      </c>
      <c r="C38" s="26" t="s">
        <v>45</v>
      </c>
      <c r="D38" s="27" t="s">
        <v>46</v>
      </c>
      <c r="E38" s="28"/>
      <c r="F38" s="25" t="s">
        <v>43</v>
      </c>
      <c r="G38" s="29" t="s">
        <v>47</v>
      </c>
      <c r="H38" s="29" t="s">
        <v>45</v>
      </c>
      <c r="I38" s="30" t="s">
        <v>46</v>
      </c>
    </row>
    <row r="39" spans="1:11" ht="15.9" x14ac:dyDescent="0.45">
      <c r="A39" s="31" t="s">
        <v>48</v>
      </c>
      <c r="B39" s="4">
        <v>0</v>
      </c>
      <c r="C39" s="4">
        <v>0</v>
      </c>
      <c r="D39" s="4"/>
      <c r="E39" s="28"/>
      <c r="F39" s="32" t="s">
        <v>49</v>
      </c>
      <c r="G39" s="33">
        <v>0</v>
      </c>
      <c r="H39" s="33">
        <v>0</v>
      </c>
      <c r="I39" s="33">
        <f>Entertainment[[#This Row],[Projected 
cost]]-Entertainment[[#This Row],[Actual 
cost]]</f>
        <v>0</v>
      </c>
    </row>
    <row r="40" spans="1:11" ht="15.9" x14ac:dyDescent="0.45">
      <c r="A40" s="31" t="s">
        <v>50</v>
      </c>
      <c r="B40" s="4">
        <v>45</v>
      </c>
      <c r="C40" s="4">
        <v>45</v>
      </c>
      <c r="D40" s="4"/>
      <c r="E40" s="28"/>
      <c r="F40" s="32" t="s">
        <v>51</v>
      </c>
      <c r="G40" s="33">
        <v>0</v>
      </c>
      <c r="H40" s="33">
        <v>0</v>
      </c>
      <c r="I40" s="33">
        <f>Entertainment[[#This Row],[Projected 
cost]]-Entertainment[[#This Row],[Actual 
cost]]</f>
        <v>0</v>
      </c>
    </row>
    <row r="41" spans="1:11" ht="15.9" x14ac:dyDescent="0.45">
      <c r="A41" s="31" t="s">
        <v>52</v>
      </c>
      <c r="B41" s="4">
        <v>0</v>
      </c>
      <c r="C41" s="4">
        <v>0</v>
      </c>
      <c r="D41" s="4"/>
      <c r="E41" s="28"/>
      <c r="F41" s="32" t="s">
        <v>53</v>
      </c>
      <c r="G41" s="33">
        <v>20</v>
      </c>
      <c r="H41" s="33">
        <v>30</v>
      </c>
      <c r="I41" s="33">
        <f>Entertainment[[#This Row],[Projected 
cost]]-Entertainment[[#This Row],[Actual 
cost]]</f>
        <v>-10</v>
      </c>
    </row>
    <row r="42" spans="1:11" ht="15.9" x14ac:dyDescent="0.45">
      <c r="A42" s="31" t="s">
        <v>54</v>
      </c>
      <c r="B42" s="4">
        <v>0</v>
      </c>
      <c r="C42" s="4">
        <v>0</v>
      </c>
      <c r="D42" s="4"/>
      <c r="E42" s="28"/>
      <c r="F42" s="32" t="s">
        <v>55</v>
      </c>
      <c r="G42" s="33">
        <v>200</v>
      </c>
      <c r="H42" s="33">
        <v>250</v>
      </c>
      <c r="I42" s="33">
        <f>Entertainment[[#This Row],[Projected 
cost]]-Entertainment[[#This Row],[Actual 
cost]]</f>
        <v>-50</v>
      </c>
    </row>
    <row r="43" spans="1:11" ht="15.9" x14ac:dyDescent="0.45">
      <c r="A43" s="31" t="s">
        <v>56</v>
      </c>
      <c r="B43" s="4">
        <v>0</v>
      </c>
      <c r="C43" s="4">
        <v>0</v>
      </c>
      <c r="D43" s="4"/>
      <c r="E43" s="28"/>
      <c r="F43" s="32" t="s">
        <v>57</v>
      </c>
      <c r="G43" s="33">
        <v>0</v>
      </c>
      <c r="H43" s="33">
        <v>0</v>
      </c>
      <c r="I43" s="33">
        <f>Entertainment[[#This Row],[Projected 
cost]]-Entertainment[[#This Row],[Actual 
cost]]</f>
        <v>0</v>
      </c>
    </row>
    <row r="44" spans="1:11" ht="15.9" x14ac:dyDescent="0.45">
      <c r="A44" s="31" t="s">
        <v>58</v>
      </c>
      <c r="B44" s="4">
        <v>0</v>
      </c>
      <c r="C44" s="4">
        <v>0</v>
      </c>
      <c r="D44" s="4"/>
      <c r="E44" s="28"/>
      <c r="F44" s="32" t="s">
        <v>59</v>
      </c>
      <c r="G44" s="33">
        <v>0</v>
      </c>
      <c r="H44" s="33">
        <v>0</v>
      </c>
      <c r="I44" s="33">
        <f>Entertainment[[#This Row],[Projected 
cost]]-Entertainment[[#This Row],[Actual 
cost]]</f>
        <v>0</v>
      </c>
    </row>
    <row r="45" spans="1:11" ht="15.9" x14ac:dyDescent="0.45">
      <c r="A45" s="31" t="s">
        <v>60</v>
      </c>
      <c r="B45" s="4">
        <v>0</v>
      </c>
      <c r="C45" s="4">
        <v>0</v>
      </c>
      <c r="D45" s="4"/>
      <c r="E45" s="28"/>
      <c r="F45" s="32" t="s">
        <v>61</v>
      </c>
      <c r="G45" s="33">
        <v>0</v>
      </c>
      <c r="H45" s="33">
        <v>0</v>
      </c>
      <c r="I45" s="33">
        <f>Entertainment[[#This Row],[Projected 
cost]]-Entertainment[[#This Row],[Actual 
cost]]</f>
        <v>0</v>
      </c>
    </row>
    <row r="46" spans="1:11" ht="15.9" x14ac:dyDescent="0.45">
      <c r="A46" s="31" t="s">
        <v>62</v>
      </c>
      <c r="B46" s="4">
        <v>0</v>
      </c>
      <c r="C46" s="4">
        <v>0</v>
      </c>
      <c r="D46" s="4"/>
      <c r="E46" s="28"/>
      <c r="F46" s="32" t="s">
        <v>61</v>
      </c>
      <c r="G46" s="33">
        <v>0</v>
      </c>
      <c r="H46" s="33">
        <v>0</v>
      </c>
      <c r="I46" s="33">
        <f>Entertainment[[#This Row],[Projected 
cost]]-Entertainment[[#This Row],[Actual 
cost]]</f>
        <v>0</v>
      </c>
    </row>
    <row r="47" spans="1:11" ht="15.9" x14ac:dyDescent="0.45">
      <c r="A47" s="31" t="s">
        <v>63</v>
      </c>
      <c r="B47" s="4">
        <v>0</v>
      </c>
      <c r="C47" s="4">
        <v>0</v>
      </c>
      <c r="D47" s="4"/>
      <c r="E47" s="28"/>
      <c r="F47" s="32" t="s">
        <v>61</v>
      </c>
      <c r="G47" s="33">
        <v>0</v>
      </c>
      <c r="H47" s="33">
        <v>0</v>
      </c>
      <c r="I47" s="33">
        <f>Entertainment[[#This Row],[Projected 
cost]]-Entertainment[[#This Row],[Actual 
cost]]</f>
        <v>0</v>
      </c>
    </row>
    <row r="48" spans="1:11" ht="18.45" x14ac:dyDescent="0.45">
      <c r="A48" s="31" t="s">
        <v>61</v>
      </c>
      <c r="B48" s="4">
        <v>0</v>
      </c>
      <c r="C48" s="4">
        <v>0</v>
      </c>
      <c r="D48" s="4"/>
      <c r="E48" s="28"/>
      <c r="F48" s="34" t="s">
        <v>64</v>
      </c>
      <c r="G48" s="35">
        <f>SUM(Entertainment[Projected 
cost])</f>
        <v>220</v>
      </c>
      <c r="H48" s="35">
        <f>SUM(Entertainment[Actual 
cost])</f>
        <v>280</v>
      </c>
      <c r="I48" s="36">
        <f>SUBTOTAL(109,Entertainment[Difference])</f>
        <v>-60</v>
      </c>
    </row>
    <row r="49" spans="1:10" ht="18.45" x14ac:dyDescent="0.45">
      <c r="A49" s="37" t="s">
        <v>64</v>
      </c>
      <c r="B49" s="4">
        <f>SUM(Housing[Projected
cost])</f>
        <v>45</v>
      </c>
      <c r="C49" s="4">
        <f>SUM(Housing[Actual 
cost])</f>
        <v>45</v>
      </c>
      <c r="D49" s="4">
        <f>SUBTOTAL(109,Housing[Difference])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Transportation[[#This Row],[Projected 
cost]]-Transportation[[#This Row],[Actual 
cost]]</f>
        <v>0</v>
      </c>
      <c r="E53" s="28"/>
      <c r="F53" s="32" t="s">
        <v>67</v>
      </c>
      <c r="G53" s="33">
        <v>400</v>
      </c>
      <c r="H53" s="33">
        <v>400</v>
      </c>
      <c r="I53" s="33">
        <f>Loans[[#This Row],[Projected 
cost]]-Loans[[#This Row],[Actual 
cost]]</f>
        <v>0</v>
      </c>
      <c r="J53" s="42">
        <v>5000</v>
      </c>
    </row>
    <row r="54" spans="1:10" ht="15.9" x14ac:dyDescent="0.45">
      <c r="A54" s="32" t="s">
        <v>68</v>
      </c>
      <c r="B54" s="33">
        <v>0</v>
      </c>
      <c r="C54" s="33">
        <v>0</v>
      </c>
      <c r="D54" s="33">
        <f>Transportation[[#This Row],[Projected 
cost]]-Transportation[[#This Row],[Actual 
cost]]</f>
        <v>0</v>
      </c>
      <c r="E54" s="28"/>
      <c r="F54" s="32" t="s">
        <v>69</v>
      </c>
      <c r="G54" s="33">
        <v>300</v>
      </c>
      <c r="H54" s="33">
        <v>300</v>
      </c>
      <c r="I54" s="33">
        <f>Loans[[#This Row],[Projected 
cost]]-Loans[[#This Row],[Actual 
cost]]</f>
        <v>0</v>
      </c>
      <c r="J54" s="42">
        <v>1400</v>
      </c>
    </row>
    <row r="55" spans="1:10" ht="15.9" x14ac:dyDescent="0.45">
      <c r="A55" s="32" t="s">
        <v>70</v>
      </c>
      <c r="B55" s="33">
        <v>0</v>
      </c>
      <c r="C55" s="33">
        <v>0</v>
      </c>
      <c r="D55" s="33">
        <f>Transportation[[#This Row],[Projected 
cost]]-Transportation[[#This Row],[Actual 
cost]]</f>
        <v>0</v>
      </c>
      <c r="E55" s="28"/>
      <c r="F55" s="32" t="s">
        <v>71</v>
      </c>
      <c r="G55" s="33">
        <v>100</v>
      </c>
      <c r="H55" s="33">
        <v>100</v>
      </c>
      <c r="I55" s="33">
        <f>Loans[[#This Row],[Projected 
cost]]-Loans[[#This Row],[Actual 
cost]]</f>
        <v>0</v>
      </c>
      <c r="J55" s="42">
        <v>500</v>
      </c>
    </row>
    <row r="56" spans="1:10" ht="15.9" x14ac:dyDescent="0.45">
      <c r="A56" s="32" t="s">
        <v>72</v>
      </c>
      <c r="B56" s="33">
        <v>0</v>
      </c>
      <c r="C56" s="33">
        <v>0</v>
      </c>
      <c r="D56" s="33">
        <f>Transportation[[#This Row],[Projected 
cost]]-Transportation[[#This Row],[Actual 
cost]]</f>
        <v>0</v>
      </c>
      <c r="E56" s="28"/>
      <c r="F56" s="32" t="s">
        <v>71</v>
      </c>
      <c r="G56" s="33">
        <v>0</v>
      </c>
      <c r="H56" s="33">
        <v>0</v>
      </c>
      <c r="I56" s="33">
        <f>Loans[[#This Row],[Projected 
cost]]-Loans[[#This Row],[Actual 
cost]]</f>
        <v>0</v>
      </c>
      <c r="J56" s="42">
        <v>0</v>
      </c>
    </row>
    <row r="57" spans="1:10" ht="15.9" x14ac:dyDescent="0.45">
      <c r="A57" s="32" t="s">
        <v>73</v>
      </c>
      <c r="B57" s="33">
        <v>0</v>
      </c>
      <c r="C57" s="33">
        <v>0</v>
      </c>
      <c r="D57" s="33">
        <f>Transportation[[#This Row],[Projected 
cost]]-Transportation[[#This Row],[Actual 
cost]]</f>
        <v>0</v>
      </c>
      <c r="E57" s="28"/>
      <c r="F57" s="32" t="s">
        <v>71</v>
      </c>
      <c r="G57" s="33">
        <v>0</v>
      </c>
      <c r="H57" s="33">
        <v>0</v>
      </c>
      <c r="I57" s="33">
        <f>Loans[[#This Row],[Projected 
cost]]-Loans[[#This Row],[Actual 
cost]]</f>
        <v>0</v>
      </c>
      <c r="J57" s="42">
        <v>0</v>
      </c>
    </row>
    <row r="58" spans="1:10" ht="15.9" x14ac:dyDescent="0.45">
      <c r="A58" s="32" t="s">
        <v>74</v>
      </c>
      <c r="B58" s="33">
        <v>0</v>
      </c>
      <c r="C58" s="33">
        <v>0</v>
      </c>
      <c r="D58" s="33">
        <f>Transportation[[#This Row],[Projected 
cost]]-Transportation[[#This Row],[Actual 
cost]]</f>
        <v>0</v>
      </c>
      <c r="E58" s="28"/>
      <c r="F58" s="32" t="s">
        <v>61</v>
      </c>
      <c r="G58" s="33">
        <v>0</v>
      </c>
      <c r="H58" s="33">
        <v>0</v>
      </c>
      <c r="I58" s="33">
        <f>Loans[[#This Row],[Projected 
cost]]-Loans[[#This Row],[Actual 
cost]]</f>
        <v>0</v>
      </c>
      <c r="J58" s="42">
        <v>0</v>
      </c>
    </row>
    <row r="59" spans="1:10" ht="18.45" x14ac:dyDescent="0.45">
      <c r="A59" s="32" t="s">
        <v>61</v>
      </c>
      <c r="B59" s="33">
        <v>0</v>
      </c>
      <c r="C59" s="33">
        <v>0</v>
      </c>
      <c r="D59" s="33">
        <f>Transportation[[#This Row],[Projected 
cost]]-Transportation[[#This Row],[Actual 
cost]]</f>
        <v>0</v>
      </c>
      <c r="E59" s="28"/>
      <c r="F59" s="34" t="s">
        <v>64</v>
      </c>
      <c r="G59" s="35">
        <f>SUM(Loans[Projected 
cost])</f>
        <v>800</v>
      </c>
      <c r="H59" s="35">
        <f>SUM(Loans[Actual 
cost])</f>
        <v>800</v>
      </c>
      <c r="I59" s="36">
        <f>SUBTOTAL(109,Loans[Difference])</f>
        <v>0</v>
      </c>
      <c r="J59" s="43">
        <f>SUM(J53:J58)</f>
        <v>6900</v>
      </c>
    </row>
    <row r="60" spans="1:10" ht="18.45" x14ac:dyDescent="0.45">
      <c r="A60" s="34" t="s">
        <v>64</v>
      </c>
      <c r="B60" s="35">
        <f>SUM(Transportation[Projected 
cost])</f>
        <v>0</v>
      </c>
      <c r="C60" s="35">
        <f>SUM(Transportation[Actual 
cost])</f>
        <v>0</v>
      </c>
      <c r="D60" s="36">
        <f>SUBTOTAL(109,Transportation[Difference])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Insurance[[#This Row],[Projected
cost]]-Insurance[[#This Row],[Actual 
cost]]</f>
        <v>0</v>
      </c>
      <c r="E64" s="28"/>
      <c r="F64" s="32" t="s">
        <v>76</v>
      </c>
      <c r="G64" s="33">
        <v>0</v>
      </c>
      <c r="H64" s="33">
        <v>0</v>
      </c>
      <c r="I64" s="33">
        <f>Taxes[[#This Row],[Projected 
cost]]-Taxes[[#This Row],[Actual 
cost]]</f>
        <v>0</v>
      </c>
    </row>
    <row r="65" spans="1:9" ht="15.9" x14ac:dyDescent="0.45">
      <c r="A65" s="32" t="s">
        <v>77</v>
      </c>
      <c r="B65" s="33">
        <v>0</v>
      </c>
      <c r="C65" s="33">
        <v>0</v>
      </c>
      <c r="D65" s="33">
        <f>Insurance[[#This Row],[Projected
cost]]-Insurance[[#This Row],[Actual 
cost]]</f>
        <v>0</v>
      </c>
      <c r="E65" s="28"/>
      <c r="F65" s="32" t="s">
        <v>78</v>
      </c>
      <c r="G65" s="33">
        <v>0</v>
      </c>
      <c r="H65" s="33">
        <v>0</v>
      </c>
      <c r="I65" s="33">
        <f>Taxes[[#This Row],[Projected 
cost]]-Taxes[[#This Row],[Actual 
cost]]</f>
        <v>0</v>
      </c>
    </row>
    <row r="66" spans="1:9" ht="15.9" x14ac:dyDescent="0.45">
      <c r="A66" s="32" t="s">
        <v>79</v>
      </c>
      <c r="B66" s="33">
        <v>0</v>
      </c>
      <c r="C66" s="33">
        <v>0</v>
      </c>
      <c r="D66" s="33">
        <f>Insurance[[#This Row],[Projected
cost]]-Insurance[[#This Row],[Actual 
cost]]</f>
        <v>0</v>
      </c>
      <c r="E66" s="28"/>
      <c r="F66" s="32" t="s">
        <v>80</v>
      </c>
      <c r="G66" s="33">
        <v>0</v>
      </c>
      <c r="H66" s="33">
        <v>0</v>
      </c>
      <c r="I66" s="33">
        <f>Taxes[[#This Row],[Projected 
cost]]-Taxes[[#This Row],[Actual 
cost]]</f>
        <v>0</v>
      </c>
    </row>
    <row r="67" spans="1:9" ht="15.9" x14ac:dyDescent="0.45">
      <c r="A67" s="32" t="s">
        <v>61</v>
      </c>
      <c r="B67" s="33">
        <v>0</v>
      </c>
      <c r="C67" s="33">
        <v>0</v>
      </c>
      <c r="D67" s="33">
        <f>Insurance[[#This Row],[Projected
cost]]-Insurance[[#This Row],[Actual 
cost]]</f>
        <v>0</v>
      </c>
      <c r="E67" s="28"/>
      <c r="F67" s="32" t="s">
        <v>61</v>
      </c>
      <c r="G67" s="33">
        <v>0</v>
      </c>
      <c r="H67" s="33">
        <v>0</v>
      </c>
      <c r="I67" s="33">
        <f>Taxes[[#This Row],[Projected 
cost]]-Taxes[[#This Row],[Actual 
cost]]</f>
        <v>0</v>
      </c>
    </row>
    <row r="68" spans="1:9" ht="18.45" x14ac:dyDescent="0.45">
      <c r="A68" s="34" t="s">
        <v>64</v>
      </c>
      <c r="B68" s="35" t="s">
        <v>122</v>
      </c>
      <c r="C68" s="35">
        <f>SUM(Insurance[Actual 
cost])</f>
        <v>0</v>
      </c>
      <c r="D68" s="36">
        <f>SUBTOTAL(109,Insurance[Difference])</f>
        <v>0</v>
      </c>
      <c r="E68" s="28"/>
      <c r="F68" s="34" t="s">
        <v>64</v>
      </c>
      <c r="G68" s="35">
        <f>SUM(Taxes[Projected 
cost])</f>
        <v>0</v>
      </c>
      <c r="H68" s="35">
        <f>SUM(Taxes[Actual 
cost])</f>
        <v>0</v>
      </c>
      <c r="I68" s="36">
        <f>SUBTOTAL(109,Taxes[Difference])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50</v>
      </c>
      <c r="C72" s="33">
        <v>50</v>
      </c>
      <c r="D72" s="33">
        <f>Food[[#This Row],[Projected 
cost]]-Food[[#This Row],[Actual 
cost]]</f>
        <v>0</v>
      </c>
      <c r="E72" s="28"/>
      <c r="F72" s="32" t="s">
        <v>83</v>
      </c>
      <c r="G72" s="33">
        <v>0</v>
      </c>
      <c r="H72" s="33">
        <v>0</v>
      </c>
      <c r="I72" s="33">
        <f>Savings[[#This Row],[Projected 
cost]]-Savings[[#This Row],[Actual 
cost]]</f>
        <v>0</v>
      </c>
    </row>
    <row r="73" spans="1:9" ht="15.9" x14ac:dyDescent="0.45">
      <c r="A73" s="32" t="s">
        <v>84</v>
      </c>
      <c r="B73" s="33">
        <v>0</v>
      </c>
      <c r="C73" s="33">
        <v>0</v>
      </c>
      <c r="D73" s="33">
        <f>Food[[#This Row],[Projected 
cost]]-Food[[#This Row],[Actual 
cost]]</f>
        <v>0</v>
      </c>
      <c r="E73" s="28"/>
      <c r="F73" s="32" t="s">
        <v>85</v>
      </c>
      <c r="G73" s="33">
        <v>0</v>
      </c>
      <c r="H73" s="33">
        <v>0</v>
      </c>
      <c r="I73" s="33">
        <f>Savings[[#This Row],[Projected 
cost]]-Savings[[#This Row],[Actual 
cost]]</f>
        <v>0</v>
      </c>
    </row>
    <row r="74" spans="1:9" ht="15.9" x14ac:dyDescent="0.45">
      <c r="A74" s="32" t="s">
        <v>61</v>
      </c>
      <c r="B74" s="33">
        <v>0</v>
      </c>
      <c r="C74" s="33">
        <v>0</v>
      </c>
      <c r="D74" s="33">
        <f>Food[[#This Row],[Projected 
cost]]-Food[[#This Row],[Actual 
cost]]</f>
        <v>0</v>
      </c>
      <c r="E74" s="28"/>
      <c r="F74" s="32" t="s">
        <v>61</v>
      </c>
      <c r="G74" s="33">
        <v>0</v>
      </c>
      <c r="H74" s="33">
        <v>0</v>
      </c>
      <c r="I74" s="33">
        <f>Savings[[#This Row],[Projected 
cost]]-Savings[[#This Row],[Actual 
cost]]</f>
        <v>0</v>
      </c>
    </row>
    <row r="75" spans="1:9" ht="18.45" x14ac:dyDescent="0.45">
      <c r="A75" s="34" t="s">
        <v>64</v>
      </c>
      <c r="B75" s="35">
        <f>SUM(Food[Projected 
cost])</f>
        <v>50</v>
      </c>
      <c r="C75" s="35">
        <f>SUM(Food[Actual 
cost])</f>
        <v>50</v>
      </c>
      <c r="D75" s="36">
        <f>SUBTOTAL(109,Food[Difference])</f>
        <v>0</v>
      </c>
      <c r="E75" s="28"/>
      <c r="F75" s="34" t="s">
        <v>64</v>
      </c>
      <c r="G75" s="35">
        <f>SUM(Savings[Projected 
cost])</f>
        <v>0</v>
      </c>
      <c r="H75" s="35">
        <f>SUM(Savings[Actual 
cost])</f>
        <v>0</v>
      </c>
      <c r="I75" s="36">
        <f>SUBTOTAL(109,Savings[Difference])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Pets[[#This Row],[Projected 
cost]]-Pets[[#This Row],[Actual 
cost]]</f>
        <v>0</v>
      </c>
      <c r="E79" s="28"/>
      <c r="F79" s="32" t="s">
        <v>87</v>
      </c>
      <c r="G79" s="33">
        <v>0</v>
      </c>
      <c r="H79" s="33">
        <v>0</v>
      </c>
      <c r="I79" s="33">
        <f>Gifts[[#This Row],[Projected 
cost]]-Gifts[[#This Row],[Actual 
cost]]</f>
        <v>0</v>
      </c>
    </row>
    <row r="80" spans="1:9" ht="15.9" x14ac:dyDescent="0.45">
      <c r="A80" s="32" t="s">
        <v>88</v>
      </c>
      <c r="B80" s="33">
        <v>0</v>
      </c>
      <c r="C80" s="33">
        <v>0</v>
      </c>
      <c r="D80" s="33">
        <f>Pets[[#This Row],[Projected 
cost]]-Pets[[#This Row],[Actual 
cost]]</f>
        <v>0</v>
      </c>
      <c r="E80" s="28"/>
      <c r="F80" s="32" t="s">
        <v>89</v>
      </c>
      <c r="G80" s="33">
        <v>0</v>
      </c>
      <c r="H80" s="33">
        <v>0</v>
      </c>
      <c r="I80" s="33">
        <f>Gifts[[#This Row],[Projected 
cost]]-Gifts[[#This Row],[Actual 
cost]]</f>
        <v>0</v>
      </c>
    </row>
    <row r="81" spans="1:11" ht="15.9" x14ac:dyDescent="0.45">
      <c r="A81" s="32" t="s">
        <v>90</v>
      </c>
      <c r="B81" s="33">
        <v>0</v>
      </c>
      <c r="C81" s="33">
        <v>0</v>
      </c>
      <c r="D81" s="33">
        <f>Pets[[#This Row],[Projected 
cost]]-Pets[[#This Row],[Actual 
cost]]</f>
        <v>0</v>
      </c>
      <c r="E81" s="28"/>
      <c r="F81" s="32" t="s">
        <v>91</v>
      </c>
      <c r="G81" s="33">
        <v>0</v>
      </c>
      <c r="H81" s="33">
        <v>0</v>
      </c>
      <c r="I81" s="33">
        <f>Gifts[[#This Row],[Projected 
cost]]-Gifts[[#This Row],[Actual 
cost]]</f>
        <v>0</v>
      </c>
    </row>
    <row r="82" spans="1:11" ht="18.45" x14ac:dyDescent="0.45">
      <c r="A82" s="32" t="s">
        <v>92</v>
      </c>
      <c r="B82" s="33">
        <v>0</v>
      </c>
      <c r="C82" s="33">
        <v>0</v>
      </c>
      <c r="D82" s="33">
        <f>Pets[[#This Row],[Projected 
cost]]-Pets[[#This Row],[Actual 
cost]]</f>
        <v>0</v>
      </c>
      <c r="E82" s="28"/>
      <c r="F82" s="34" t="s">
        <v>64</v>
      </c>
      <c r="G82" s="35">
        <f>SUM(Gifts[Projected 
cost])</f>
        <v>0</v>
      </c>
      <c r="H82" s="35">
        <f>SUM(Gifts[Actual 
cost])</f>
        <v>0</v>
      </c>
      <c r="I82" s="36">
        <f>SUBTOTAL(109,Gifts[Difference])</f>
        <v>0</v>
      </c>
    </row>
    <row r="83" spans="1:11" ht="18.45" x14ac:dyDescent="0.45">
      <c r="A83" s="32" t="s">
        <v>61</v>
      </c>
      <c r="B83" s="33">
        <v>0</v>
      </c>
      <c r="C83" s="33">
        <v>0</v>
      </c>
      <c r="D83" s="33">
        <f>Pets[[#This Row],[Projected 
cost]]-Pets[[#This Row],[Actual 
cost]]</f>
        <v>0</v>
      </c>
      <c r="E83" s="28"/>
      <c r="F83" s="39"/>
      <c r="G83" s="46"/>
      <c r="H83" s="46"/>
      <c r="I83" s="33"/>
    </row>
    <row r="84" spans="1:11" ht="18.45" x14ac:dyDescent="0.45">
      <c r="A84" s="34" t="s">
        <v>64</v>
      </c>
      <c r="B84" s="51">
        <f>SUM(Pets[Projected 
cost])</f>
        <v>0</v>
      </c>
      <c r="C84" s="51">
        <f>SUM(Pets[Actual 
cost])</f>
        <v>0</v>
      </c>
      <c r="D84" s="51">
        <f>SUBTOTAL(109,Pets[Difference])</f>
        <v>0</v>
      </c>
      <c r="E84" s="28"/>
      <c r="F84" s="39"/>
      <c r="G84" s="46"/>
      <c r="H84" s="46"/>
      <c r="I84" s="33"/>
    </row>
    <row r="85" spans="1:11" ht="18.45" x14ac:dyDescent="0.45">
      <c r="A85" s="45"/>
      <c r="B85" s="52"/>
      <c r="C85" s="52"/>
      <c r="D85" s="52"/>
      <c r="E85" s="28"/>
      <c r="F85" s="53"/>
      <c r="G85" s="46"/>
      <c r="H85" s="46"/>
      <c r="I85" s="46"/>
    </row>
    <row r="86" spans="1:11" ht="26.15" x14ac:dyDescent="0.45">
      <c r="A86" s="75" t="s">
        <v>93</v>
      </c>
      <c r="B86" s="75"/>
      <c r="C86" s="75"/>
      <c r="D86" s="75"/>
      <c r="E86" s="40"/>
      <c r="F86" s="72" t="s">
        <v>61</v>
      </c>
      <c r="G86" s="72"/>
      <c r="H86" s="72"/>
      <c r="I86" s="72"/>
    </row>
    <row r="87" spans="1:11" ht="36.9" x14ac:dyDescent="0.45">
      <c r="A87" s="25" t="s">
        <v>43</v>
      </c>
      <c r="B87" s="29" t="s">
        <v>47</v>
      </c>
      <c r="C87" s="29" t="s">
        <v>45</v>
      </c>
      <c r="D87" s="30" t="s">
        <v>46</v>
      </c>
      <c r="E87" s="28"/>
      <c r="F87" s="25" t="s">
        <v>43</v>
      </c>
      <c r="G87" s="29" t="s">
        <v>47</v>
      </c>
      <c r="H87" s="29" t="s">
        <v>45</v>
      </c>
      <c r="I87" s="30" t="s">
        <v>46</v>
      </c>
    </row>
    <row r="88" spans="1:11" ht="15.9" x14ac:dyDescent="0.45">
      <c r="A88" s="32" t="s">
        <v>88</v>
      </c>
      <c r="B88" s="33">
        <v>0</v>
      </c>
      <c r="C88" s="33">
        <v>0</v>
      </c>
      <c r="D88" s="33">
        <f>PersonalCare[[#This Row],[Projected 
cost]]-PersonalCare[[#This Row],[Actual 
cost]]</f>
        <v>0</v>
      </c>
      <c r="E88" s="28"/>
      <c r="F88" s="32" t="s">
        <v>87</v>
      </c>
      <c r="G88" s="33">
        <v>0</v>
      </c>
      <c r="H88" s="33">
        <v>0</v>
      </c>
      <c r="I88" s="33">
        <f>Legal[[#This Row],[Projected 
cost]]-Legal[[#This Row],[Actual 
cost]]</f>
        <v>0</v>
      </c>
    </row>
    <row r="89" spans="1:11" ht="15.9" x14ac:dyDescent="0.45">
      <c r="A89" s="32" t="s">
        <v>94</v>
      </c>
      <c r="B89" s="33">
        <v>100</v>
      </c>
      <c r="C89" s="33">
        <v>75</v>
      </c>
      <c r="D89" s="33">
        <f>PersonalCare[[#This Row],[Projected 
cost]]-PersonalCare[[#This Row],[Actual 
cost]]</f>
        <v>25</v>
      </c>
      <c r="E89" s="28"/>
      <c r="F89" s="32" t="s">
        <v>89</v>
      </c>
      <c r="G89" s="33">
        <v>0</v>
      </c>
      <c r="H89" s="33">
        <v>0</v>
      </c>
      <c r="I89" s="33">
        <f>Legal[[#This Row],[Projected 
cost]]-Legal[[#This Row],[Actual 
cost]]</f>
        <v>0</v>
      </c>
    </row>
    <row r="90" spans="1:11" ht="15.9" x14ac:dyDescent="0.45">
      <c r="A90" s="32" t="s">
        <v>95</v>
      </c>
      <c r="B90" s="33">
        <v>0</v>
      </c>
      <c r="C90" s="33">
        <v>0</v>
      </c>
      <c r="D90" s="33">
        <f>PersonalCare[[#This Row],[Projected 
cost]]-PersonalCare[[#This Row],[Actual 
cost]]</f>
        <v>0</v>
      </c>
      <c r="E90" s="28"/>
      <c r="F90" s="32" t="s">
        <v>91</v>
      </c>
      <c r="G90" s="33">
        <v>0</v>
      </c>
      <c r="H90" s="33">
        <v>0</v>
      </c>
      <c r="I90" s="33">
        <f>Legal[[#This Row],[Projected 
cost]]-Legal[[#This Row],[Actual 
cost]]</f>
        <v>0</v>
      </c>
    </row>
    <row r="91" spans="1:11" ht="15.9" x14ac:dyDescent="0.45">
      <c r="A91" s="32" t="s">
        <v>96</v>
      </c>
      <c r="B91" s="33">
        <v>0</v>
      </c>
      <c r="C91" s="33">
        <v>0</v>
      </c>
      <c r="D91" s="33">
        <f>PersonalCare[[#This Row],[Projected 
cost]]-PersonalCare[[#This Row],[Actual 
cost]]</f>
        <v>0</v>
      </c>
      <c r="E91" s="28"/>
      <c r="F91" s="32" t="s">
        <v>97</v>
      </c>
      <c r="G91" s="33">
        <v>0</v>
      </c>
      <c r="H91" s="33">
        <v>0</v>
      </c>
      <c r="I91" s="33">
        <f>Legal[[#This Row],[Projected 
cost]]-Legal[[#This Row],[Actual 
cost]]</f>
        <v>0</v>
      </c>
    </row>
    <row r="92" spans="1:11" ht="18.45" x14ac:dyDescent="0.45">
      <c r="A92" s="32" t="s">
        <v>98</v>
      </c>
      <c r="B92" s="33">
        <v>0</v>
      </c>
      <c r="C92" s="33">
        <v>0</v>
      </c>
      <c r="D92" s="33">
        <f>PersonalCare[[#This Row],[Projected 
cost]]-PersonalCare[[#This Row],[Actual 
cost]]</f>
        <v>0</v>
      </c>
      <c r="E92" s="28"/>
      <c r="F92" s="34" t="s">
        <v>64</v>
      </c>
      <c r="G92" s="35">
        <f>SUM(Legal[Projected 
cost])</f>
        <v>0</v>
      </c>
      <c r="H92" s="35">
        <f>SUM(Legal[Actual 
cost])</f>
        <v>0</v>
      </c>
      <c r="I92" s="36">
        <f>SUBTOTAL(109,Legal[Difference])</f>
        <v>0</v>
      </c>
    </row>
    <row r="93" spans="1:11" ht="15.9" x14ac:dyDescent="0.45">
      <c r="A93" s="32" t="s">
        <v>99</v>
      </c>
      <c r="B93" s="33">
        <v>0</v>
      </c>
      <c r="C93" s="33">
        <v>0</v>
      </c>
      <c r="D93" s="33">
        <f>PersonalCare[[#This Row],[Projected 
cost]]-PersonalCare[[#This Row],[Actual 
cost]]</f>
        <v>0</v>
      </c>
      <c r="E93" s="28"/>
      <c r="F93" s="38"/>
      <c r="G93" s="38"/>
      <c r="H93" s="38"/>
      <c r="I93" s="38"/>
    </row>
    <row r="94" spans="1:11" ht="15.9" customHeight="1" x14ac:dyDescent="0.45">
      <c r="A94" s="32" t="s">
        <v>61</v>
      </c>
      <c r="B94" s="33">
        <v>0</v>
      </c>
      <c r="C94" s="33">
        <v>0</v>
      </c>
      <c r="D94" s="33">
        <f>PersonalCare[[#This Row],[Projected 
cost]]-PersonalCare[[#This Row],[Actual 
cost]]</f>
        <v>0</v>
      </c>
      <c r="E94" s="28"/>
      <c r="F94" s="67" t="s">
        <v>121</v>
      </c>
      <c r="G94" s="67"/>
      <c r="H94" s="67"/>
      <c r="I94" s="68">
        <f>J59</f>
        <v>6900</v>
      </c>
      <c r="J94" s="69" t="s">
        <v>127</v>
      </c>
      <c r="K94" s="69"/>
    </row>
    <row r="95" spans="1:11" ht="18.45" x14ac:dyDescent="0.45">
      <c r="A95" s="34" t="s">
        <v>64</v>
      </c>
      <c r="B95" s="35">
        <f>SUM(PersonalCare[Projected 
cost])</f>
        <v>100</v>
      </c>
      <c r="C95" s="35">
        <f>SUM(PersonalCare[Actual 
cost])</f>
        <v>75</v>
      </c>
      <c r="D95" s="36">
        <f>SUBTOTAL(109,PersonalCare[Difference])</f>
        <v>25</v>
      </c>
      <c r="E95" s="28"/>
      <c r="F95" s="67"/>
      <c r="G95" s="67"/>
      <c r="H95" s="67"/>
      <c r="I95" s="68"/>
      <c r="J95" s="69"/>
      <c r="K95" s="69"/>
    </row>
    <row r="96" spans="1:11" ht="15.9" x14ac:dyDescent="0.45">
      <c r="A96" s="54"/>
      <c r="B96" s="54"/>
      <c r="C96" s="54"/>
      <c r="D96" s="54"/>
      <c r="E96" s="28"/>
      <c r="F96" s="76" t="s">
        <v>100</v>
      </c>
      <c r="G96" s="76"/>
      <c r="H96" s="76"/>
      <c r="I96" s="78">
        <f>SUBTOTAL(109,Housing[Projected
cost],Transportation[Projected 
cost],Insurance[Projected
cost],Food[Projected 
cost],Pets[Projected 
cost],PersonalCare[Projected 
cost],Entertainment[Projected 
cost],Loans[Projected 
cost],Taxes[Projected 
cost],Savings[Projected 
cost],Gifts[Projected 
cost],Legal[Projected 
cost])</f>
        <v>1215</v>
      </c>
      <c r="J96" s="69"/>
      <c r="K96" s="69"/>
    </row>
    <row r="97" spans="5:16" ht="15.9" x14ac:dyDescent="0.45">
      <c r="E97" s="28"/>
      <c r="F97" s="76"/>
      <c r="G97" s="76"/>
      <c r="H97" s="76"/>
      <c r="I97" s="78"/>
      <c r="J97" s="69"/>
      <c r="K97" s="69"/>
    </row>
    <row r="98" spans="5:16" ht="15.9" x14ac:dyDescent="0.45">
      <c r="E98" s="28"/>
      <c r="F98" s="79" t="s">
        <v>101</v>
      </c>
      <c r="G98" s="79"/>
      <c r="H98" s="79"/>
      <c r="I98" s="80">
        <f>SUBTOTAL(109,Housing[Actual 
cost],Transportation[Actual 
cost],Insurance[Actual 
cost],Food[Actual 
cost],Pets[Actual 
cost],PersonalCare[Actual 
cost],Entertainment[Actual 
cost],Loans[Actual 
cost],Taxes[Actual 
cost],Savings[Actual 
cost],Gifts[Actual 
cost],Legal[Actual 
cost])</f>
        <v>1250</v>
      </c>
    </row>
    <row r="99" spans="5:16" ht="15.9" x14ac:dyDescent="0.45">
      <c r="E99" s="28"/>
      <c r="F99" s="79"/>
      <c r="G99" s="79"/>
      <c r="H99" s="79"/>
      <c r="I99" s="80"/>
    </row>
    <row r="100" spans="5:16" ht="14.6" customHeight="1" x14ac:dyDescent="0.4">
      <c r="F100" s="81" t="s">
        <v>126</v>
      </c>
      <c r="G100" s="81"/>
      <c r="H100" s="81"/>
      <c r="I100" s="82">
        <f>I96-I98</f>
        <v>-35</v>
      </c>
      <c r="J100" s="66" t="s">
        <v>128</v>
      </c>
      <c r="K100" s="66"/>
      <c r="L100" s="66"/>
      <c r="M100" s="66"/>
      <c r="N100" s="66"/>
      <c r="O100" s="66"/>
      <c r="P100" s="66"/>
    </row>
    <row r="101" spans="5:16" x14ac:dyDescent="0.4">
      <c r="F101" s="81"/>
      <c r="G101" s="81"/>
      <c r="H101" s="81"/>
      <c r="I101" s="82"/>
      <c r="J101" s="66"/>
      <c r="K101" s="66"/>
      <c r="L101" s="66"/>
      <c r="M101" s="66"/>
      <c r="N101" s="66"/>
      <c r="O101" s="66"/>
      <c r="P101" s="66"/>
    </row>
    <row r="102" spans="5:16" ht="14.7" customHeight="1" x14ac:dyDescent="0.4">
      <c r="F102" s="76" t="s">
        <v>103</v>
      </c>
      <c r="G102" s="76"/>
      <c r="H102" s="76"/>
      <c r="I102" s="77">
        <f>SUM(B34-I98)</f>
        <v>-250</v>
      </c>
      <c r="J102" s="66"/>
      <c r="K102" s="66"/>
      <c r="L102" s="66"/>
      <c r="M102" s="66"/>
      <c r="N102" s="66"/>
      <c r="O102" s="66"/>
      <c r="P102" s="66"/>
    </row>
    <row r="103" spans="5:16" ht="14.7" customHeight="1" x14ac:dyDescent="0.4">
      <c r="F103" s="76"/>
      <c r="G103" s="76"/>
      <c r="H103" s="76"/>
      <c r="I103" s="77"/>
      <c r="J103" s="66"/>
      <c r="K103" s="66"/>
      <c r="L103" s="66"/>
      <c r="M103" s="66"/>
      <c r="N103" s="66"/>
      <c r="O103" s="66"/>
      <c r="P103" s="66"/>
    </row>
    <row r="104" spans="5:16" x14ac:dyDescent="0.4">
      <c r="J104" s="63"/>
      <c r="K104" s="63"/>
      <c r="L104" s="63"/>
      <c r="M104" s="63"/>
    </row>
    <row r="105" spans="5:16" x14ac:dyDescent="0.4">
      <c r="J105" s="63"/>
      <c r="K105" s="63"/>
      <c r="L105" s="63"/>
      <c r="M105" s="63"/>
    </row>
    <row r="106" spans="5:16" x14ac:dyDescent="0.4">
      <c r="J106" s="63"/>
      <c r="K106" s="63"/>
      <c r="L106" s="63"/>
      <c r="M106" s="63"/>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4">
    <mergeCell ref="F102:H103"/>
    <mergeCell ref="I102:I103"/>
    <mergeCell ref="F96:H97"/>
    <mergeCell ref="I96:I97"/>
    <mergeCell ref="F98:H99"/>
    <mergeCell ref="I98:I99"/>
    <mergeCell ref="F100:H101"/>
    <mergeCell ref="I100:I101"/>
    <mergeCell ref="J100:P103"/>
    <mergeCell ref="F94:H95"/>
    <mergeCell ref="I94:I95"/>
    <mergeCell ref="J94:K97"/>
    <mergeCell ref="A31:B31"/>
    <mergeCell ref="A51:D51"/>
    <mergeCell ref="F51:I51"/>
    <mergeCell ref="F61:I61"/>
    <mergeCell ref="A62:D62"/>
    <mergeCell ref="F62:I62"/>
    <mergeCell ref="A70:D70"/>
    <mergeCell ref="F70:I70"/>
    <mergeCell ref="A77:D77"/>
    <mergeCell ref="F77:I77"/>
    <mergeCell ref="A86:D86"/>
    <mergeCell ref="F86:I86"/>
  </mergeCells>
  <phoneticPr fontId="10" type="noConversion"/>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A0EF2-EAF7-4082-8112-29F1C32BB871}">
  <sheetPr>
    <tabColor rgb="FFFFFF00"/>
  </sheetPr>
  <dimension ref="B1:T65"/>
  <sheetViews>
    <sheetView zoomScale="75" workbookViewId="0">
      <selection activeCell="G30" sqref="G30"/>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'Budget Example'!J55</f>
        <v>500</v>
      </c>
      <c r="D4" s="42">
        <f>'Budget Example'!H55</f>
        <v>100</v>
      </c>
      <c r="E4" s="59">
        <v>0.21099999999999999</v>
      </c>
      <c r="F4" s="3" t="s">
        <v>107</v>
      </c>
      <c r="G4" s="60" t="s">
        <v>109</v>
      </c>
      <c r="H4" s="7"/>
      <c r="I4" s="7"/>
      <c r="J4" s="7"/>
      <c r="K4" s="7"/>
      <c r="L4" s="7"/>
      <c r="M4" s="7"/>
      <c r="N4" s="7"/>
      <c r="O4" s="7"/>
      <c r="P4" s="2"/>
      <c r="Q4" s="2"/>
      <c r="R4" s="2"/>
      <c r="S4" s="2"/>
      <c r="T4" s="2"/>
    </row>
    <row r="5" spans="2:20" ht="14.6" x14ac:dyDescent="0.4">
      <c r="B5" s="10"/>
      <c r="C5" s="57">
        <f>'Budget Example'!J56</f>
        <v>0</v>
      </c>
      <c r="D5" s="42">
        <f>'Budget Example'!H56</f>
        <v>0</v>
      </c>
      <c r="E5" s="59"/>
      <c r="F5" s="3" t="s">
        <v>108</v>
      </c>
    </row>
    <row r="6" spans="2:20" ht="14.6" x14ac:dyDescent="0.4">
      <c r="B6" s="10"/>
      <c r="C6" s="10">
        <f>'Budget Example'!J57</f>
        <v>0</v>
      </c>
      <c r="D6" s="42">
        <f>'Budget Example'!H57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'Budget Example'!J54</f>
        <v>1400</v>
      </c>
      <c r="E45" s="9">
        <v>3.73E-2</v>
      </c>
      <c r="F45" s="10">
        <f>'Budget Example'!H54</f>
        <v>300</v>
      </c>
      <c r="G45" s="3" t="s">
        <v>112</v>
      </c>
    </row>
    <row r="46" spans="2:7" ht="15" customHeight="1" x14ac:dyDescent="0.4">
      <c r="C46" t="s">
        <v>67</v>
      </c>
      <c r="D46" s="10">
        <f>'Budget Example'!J53</f>
        <v>5000</v>
      </c>
      <c r="E46" s="62">
        <v>0.24</v>
      </c>
      <c r="F46" s="10">
        <f>'Budget Example'!H53</f>
        <v>400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G3:T3"/>
    <mergeCell ref="B42:C43"/>
    <mergeCell ref="B1:C2"/>
  </mergeCells>
  <hyperlinks>
    <hyperlink ref="G45" r:id="rId1" xr:uid="{CA168898-9E97-415A-8E16-B04E5068F748}"/>
    <hyperlink ref="F4" r:id="rId2" xr:uid="{778C691F-36C9-4151-BA82-1602E5BAD16D}"/>
    <hyperlink ref="F5" r:id="rId3" xr:uid="{A0EA0317-E0FB-480B-890A-1CC8B44F935B}"/>
  </hyperlinks>
  <pageMargins left="0.7" right="0.7" top="0.75" bottom="0.75" header="0.3" footer="0.3"/>
  <drawing r:id="rId4"/>
  <tableParts count="4">
    <tablePart r:id="rId5"/>
    <tablePart r:id="rId6"/>
    <tablePart r:id="rId7"/>
    <tablePart r:id="rId8"/>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80A4AB-CD50-4460-896A-BACDBEF5665A}">
  <sheetPr>
    <tabColor theme="5"/>
  </sheetPr>
  <dimension ref="A1:O150"/>
  <sheetViews>
    <sheetView topLeftCell="A31" zoomScale="85" workbookViewId="0">
      <selection activeCell="O70" sqref="O70"/>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Entertainment180[[#This Row],[Projected 
cost]]-Entertainment180[[#This Row],[Actual 
cost]]</f>
        <v>0</v>
      </c>
    </row>
    <row r="40" spans="1:9" ht="15.9" x14ac:dyDescent="0.45">
      <c r="A40" s="31" t="s">
        <v>50</v>
      </c>
      <c r="B40" s="4">
        <v>0</v>
      </c>
      <c r="C40" s="4">
        <v>0</v>
      </c>
      <c r="D40" s="4"/>
      <c r="E40" s="28"/>
      <c r="F40" s="32" t="s">
        <v>51</v>
      </c>
      <c r="G40" s="33">
        <v>0</v>
      </c>
      <c r="H40" s="33">
        <v>0</v>
      </c>
      <c r="I40" s="33">
        <f>Entertainment180[[#This Row],[Projected 
cost]]-Entertainment180[[#This Row],[Actual 
cost]]</f>
        <v>0</v>
      </c>
    </row>
    <row r="41" spans="1:9" ht="15.9" x14ac:dyDescent="0.45">
      <c r="A41" s="31" t="s">
        <v>52</v>
      </c>
      <c r="B41" s="4">
        <v>0</v>
      </c>
      <c r="C41" s="4">
        <v>0</v>
      </c>
      <c r="D41" s="4"/>
      <c r="E41" s="28"/>
      <c r="F41" s="32" t="s">
        <v>53</v>
      </c>
      <c r="G41" s="33">
        <v>0</v>
      </c>
      <c r="H41" s="33">
        <v>0</v>
      </c>
      <c r="I41" s="33">
        <f>Entertainment180[[#This Row],[Projected 
cost]]-Entertainment180[[#This Row],[Actual 
cost]]</f>
        <v>0</v>
      </c>
    </row>
    <row r="42" spans="1:9" ht="15.9" x14ac:dyDescent="0.45">
      <c r="A42" s="31" t="s">
        <v>54</v>
      </c>
      <c r="B42" s="4">
        <v>0</v>
      </c>
      <c r="C42" s="4">
        <v>0</v>
      </c>
      <c r="D42" s="4"/>
      <c r="E42" s="28"/>
      <c r="F42" s="32" t="s">
        <v>55</v>
      </c>
      <c r="G42" s="33">
        <v>0</v>
      </c>
      <c r="H42" s="33">
        <v>0</v>
      </c>
      <c r="I42" s="33">
        <f>Entertainment180[[#This Row],[Projected 
cost]]-Entertainment180[[#This Row],[Actual 
cost]]</f>
        <v>0</v>
      </c>
    </row>
    <row r="43" spans="1:9" ht="15.9" x14ac:dyDescent="0.45">
      <c r="A43" s="31" t="s">
        <v>56</v>
      </c>
      <c r="B43" s="4">
        <v>0</v>
      </c>
      <c r="C43" s="4">
        <v>0</v>
      </c>
      <c r="D43" s="4"/>
      <c r="E43" s="28"/>
      <c r="F43" s="32" t="s">
        <v>57</v>
      </c>
      <c r="G43" s="33">
        <v>0</v>
      </c>
      <c r="H43" s="33">
        <v>0</v>
      </c>
      <c r="I43" s="33">
        <f>Entertainment180[[#This Row],[Projected 
cost]]-Entertainment180[[#This Row],[Actual 
cost]]</f>
        <v>0</v>
      </c>
    </row>
    <row r="44" spans="1:9" ht="15.9" x14ac:dyDescent="0.45">
      <c r="A44" s="31" t="s">
        <v>58</v>
      </c>
      <c r="B44" s="4">
        <v>0</v>
      </c>
      <c r="C44" s="4">
        <v>0</v>
      </c>
      <c r="D44" s="4"/>
      <c r="E44" s="28"/>
      <c r="F44" s="32" t="s">
        <v>59</v>
      </c>
      <c r="G44" s="33">
        <v>0</v>
      </c>
      <c r="H44" s="33">
        <v>0</v>
      </c>
      <c r="I44" s="33">
        <f>Entertainment180[[#This Row],[Projected 
cost]]-Entertainment180[[#This Row],[Actual 
cost]]</f>
        <v>0</v>
      </c>
    </row>
    <row r="45" spans="1:9" ht="15.9" x14ac:dyDescent="0.45">
      <c r="A45" s="31" t="s">
        <v>60</v>
      </c>
      <c r="B45" s="4">
        <v>0</v>
      </c>
      <c r="C45" s="4">
        <v>0</v>
      </c>
      <c r="D45" s="4"/>
      <c r="E45" s="28"/>
      <c r="F45" s="32" t="s">
        <v>61</v>
      </c>
      <c r="G45" s="33">
        <v>0</v>
      </c>
      <c r="H45" s="33">
        <v>0</v>
      </c>
      <c r="I45" s="33">
        <f>Entertainment180[[#This Row],[Projected 
cost]]-Entertainment180[[#This Row],[Actual 
cost]]</f>
        <v>0</v>
      </c>
    </row>
    <row r="46" spans="1:9" ht="15.9" x14ac:dyDescent="0.45">
      <c r="A46" s="31" t="s">
        <v>62</v>
      </c>
      <c r="B46" s="4">
        <v>0</v>
      </c>
      <c r="C46" s="4">
        <v>0</v>
      </c>
      <c r="D46" s="4"/>
      <c r="E46" s="28"/>
      <c r="F46" s="32" t="s">
        <v>61</v>
      </c>
      <c r="G46" s="33">
        <v>0</v>
      </c>
      <c r="H46" s="33">
        <v>0</v>
      </c>
      <c r="I46" s="33">
        <f>Entertainment180[[#This Row],[Projected 
cost]]-Entertainment180[[#This Row],[Actual 
cost]]</f>
        <v>0</v>
      </c>
    </row>
    <row r="47" spans="1:9" ht="15.9" x14ac:dyDescent="0.45">
      <c r="A47" s="31" t="s">
        <v>63</v>
      </c>
      <c r="B47" s="4">
        <v>0</v>
      </c>
      <c r="C47" s="4">
        <v>0</v>
      </c>
      <c r="D47" s="4"/>
      <c r="E47" s="28"/>
      <c r="F47" s="32" t="s">
        <v>61</v>
      </c>
      <c r="G47" s="33">
        <v>0</v>
      </c>
      <c r="H47" s="33">
        <v>0</v>
      </c>
      <c r="I47" s="33">
        <f>Entertainment180[[#This Row],[Projected 
cost]]-Entertainment180[[#This Row],[Actual 
cost]]</f>
        <v>0</v>
      </c>
    </row>
    <row r="48" spans="1:9" ht="18.45" x14ac:dyDescent="0.45">
      <c r="A48" s="31" t="s">
        <v>61</v>
      </c>
      <c r="B48" s="4">
        <v>0</v>
      </c>
      <c r="C48" s="4">
        <v>0</v>
      </c>
      <c r="D48" s="4"/>
      <c r="E48" s="28"/>
      <c r="F48" s="34" t="s">
        <v>64</v>
      </c>
      <c r="G48" s="35">
        <f>SUM(Entertainment180[Projected 
cost])</f>
        <v>0</v>
      </c>
      <c r="H48" s="35">
        <f>SUM(Entertainment180[Actual 
cost])</f>
        <v>0</v>
      </c>
      <c r="I48" s="36">
        <f>SUBTOTAL(109,Entertainment180[Difference])</f>
        <v>0</v>
      </c>
    </row>
    <row r="49" spans="1:10" ht="18.45" x14ac:dyDescent="0.45">
      <c r="A49" s="37" t="s">
        <v>64</v>
      </c>
      <c r="B49" s="4">
        <f>SUM(Housing179[Projected
cost])</f>
        <v>0</v>
      </c>
      <c r="C49" s="4">
        <f>SUM(Housing179[Actual 
cost])</f>
        <v>0</v>
      </c>
      <c r="D49" s="4">
        <f>SUBTOTAL(109,Housing179[Difference])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Transportation183[[#This Row],[Projected 
cost]]-Transportation183[[#This Row],[Actual 
cost]]</f>
        <v>0</v>
      </c>
      <c r="E53" s="28"/>
      <c r="F53" s="32" t="s">
        <v>67</v>
      </c>
      <c r="G53" s="33">
        <v>0</v>
      </c>
      <c r="H53" s="33">
        <v>0</v>
      </c>
      <c r="I53" s="33">
        <f>Loans182[[#This Row],[Projected 
cost]]-Loans182[[#This Row],[Actual 
cost]]</f>
        <v>0</v>
      </c>
      <c r="J53" s="42">
        <v>0</v>
      </c>
    </row>
    <row r="54" spans="1:10" ht="15.9" x14ac:dyDescent="0.45">
      <c r="A54" s="32" t="s">
        <v>68</v>
      </c>
      <c r="B54" s="33">
        <v>0</v>
      </c>
      <c r="C54" s="33">
        <v>0</v>
      </c>
      <c r="D54" s="33">
        <f>Transportation183[[#This Row],[Projected 
cost]]-Transportation183[[#This Row],[Actual 
cost]]</f>
        <v>0</v>
      </c>
      <c r="E54" s="28"/>
      <c r="F54" s="32" t="s">
        <v>69</v>
      </c>
      <c r="G54" s="33">
        <v>0</v>
      </c>
      <c r="H54" s="33">
        <v>0</v>
      </c>
      <c r="I54" s="33">
        <f>Loans182[[#This Row],[Projected 
cost]]-Loans182[[#This Row],[Actual 
cost]]</f>
        <v>0</v>
      </c>
      <c r="J54" s="42">
        <v>0</v>
      </c>
    </row>
    <row r="55" spans="1:10" ht="15.9" x14ac:dyDescent="0.45">
      <c r="A55" s="32" t="s">
        <v>70</v>
      </c>
      <c r="B55" s="33">
        <v>0</v>
      </c>
      <c r="C55" s="33">
        <v>0</v>
      </c>
      <c r="D55" s="33">
        <f>Transportation183[[#This Row],[Projected 
cost]]-Transportation183[[#This Row],[Actual 
cost]]</f>
        <v>0</v>
      </c>
      <c r="E55" s="28"/>
      <c r="F55" s="32" t="s">
        <v>71</v>
      </c>
      <c r="G55" s="33">
        <v>0</v>
      </c>
      <c r="H55" s="33">
        <v>0</v>
      </c>
      <c r="I55" s="33">
        <f>Loans182[[#This Row],[Projected 
cost]]-Loans182[[#This Row],[Actual 
cost]]</f>
        <v>0</v>
      </c>
      <c r="J55" s="42">
        <v>0</v>
      </c>
    </row>
    <row r="56" spans="1:10" ht="15.9" x14ac:dyDescent="0.45">
      <c r="A56" s="32" t="s">
        <v>72</v>
      </c>
      <c r="B56" s="33">
        <v>0</v>
      </c>
      <c r="C56" s="33">
        <v>0</v>
      </c>
      <c r="D56" s="33">
        <f>Transportation183[[#This Row],[Projected 
cost]]-Transportation183[[#This Row],[Actual 
cost]]</f>
        <v>0</v>
      </c>
      <c r="E56" s="28"/>
      <c r="F56" s="32" t="s">
        <v>71</v>
      </c>
      <c r="G56" s="33">
        <v>0</v>
      </c>
      <c r="H56" s="33">
        <v>0</v>
      </c>
      <c r="I56" s="33">
        <f>Loans182[[#This Row],[Projected 
cost]]-Loans182[[#This Row],[Actual 
cost]]</f>
        <v>0</v>
      </c>
      <c r="J56" s="42">
        <v>0</v>
      </c>
    </row>
    <row r="57" spans="1:10" ht="15.9" x14ac:dyDescent="0.45">
      <c r="A57" s="32" t="s">
        <v>73</v>
      </c>
      <c r="B57" s="33">
        <v>0</v>
      </c>
      <c r="C57" s="33">
        <v>0</v>
      </c>
      <c r="D57" s="33">
        <f>Transportation183[[#This Row],[Projected 
cost]]-Transportation183[[#This Row],[Actual 
cost]]</f>
        <v>0</v>
      </c>
      <c r="E57" s="28"/>
      <c r="F57" s="32" t="s">
        <v>71</v>
      </c>
      <c r="G57" s="33">
        <v>0</v>
      </c>
      <c r="H57" s="33">
        <v>0</v>
      </c>
      <c r="I57" s="33">
        <f>Loans182[[#This Row],[Projected 
cost]]-Loans182[[#This Row],[Actual 
cost]]</f>
        <v>0</v>
      </c>
      <c r="J57" s="42">
        <v>0</v>
      </c>
    </row>
    <row r="58" spans="1:10" ht="15.9" x14ac:dyDescent="0.45">
      <c r="A58" s="32" t="s">
        <v>74</v>
      </c>
      <c r="B58" s="33">
        <v>0</v>
      </c>
      <c r="C58" s="33">
        <v>0</v>
      </c>
      <c r="D58" s="33">
        <f>Transportation183[[#This Row],[Projected 
cost]]-Transportation183[[#This Row],[Actual 
cost]]</f>
        <v>0</v>
      </c>
      <c r="E58" s="28"/>
      <c r="F58" s="32" t="s">
        <v>61</v>
      </c>
      <c r="G58" s="33">
        <v>0</v>
      </c>
      <c r="H58" s="33">
        <v>0</v>
      </c>
      <c r="I58" s="33">
        <f>Loans182[[#This Row],[Projected 
cost]]-Loans182[[#This Row],[Actual 
cost]]</f>
        <v>0</v>
      </c>
      <c r="J58" s="42">
        <v>0</v>
      </c>
    </row>
    <row r="59" spans="1:10" ht="18.45" x14ac:dyDescent="0.45">
      <c r="A59" s="32" t="s">
        <v>61</v>
      </c>
      <c r="B59" s="33">
        <v>0</v>
      </c>
      <c r="C59" s="33">
        <v>0</v>
      </c>
      <c r="D59" s="33">
        <f>Transportation183[[#This Row],[Projected 
cost]]-Transportation183[[#This Row],[Actual 
cost]]</f>
        <v>0</v>
      </c>
      <c r="E59" s="28"/>
      <c r="F59" s="34" t="s">
        <v>64</v>
      </c>
      <c r="G59" s="35">
        <f>SUM(Loans182[Projected 
cost])</f>
        <v>0</v>
      </c>
      <c r="H59" s="35">
        <f>SUM(Loans182[Actual 
cost])</f>
        <v>0</v>
      </c>
      <c r="I59" s="36">
        <f>SUBTOTAL(109,Loans182[Difference])</f>
        <v>0</v>
      </c>
      <c r="J59" s="43">
        <f>SUM(J53:J58)</f>
        <v>0</v>
      </c>
    </row>
    <row r="60" spans="1:10" ht="18.45" x14ac:dyDescent="0.45">
      <c r="A60" s="34" t="s">
        <v>64</v>
      </c>
      <c r="B60" s="35">
        <f>SUM(Transportation183[Projected 
cost])</f>
        <v>0</v>
      </c>
      <c r="C60" s="35">
        <f>SUM(Transportation183[Actual 
cost])</f>
        <v>0</v>
      </c>
      <c r="D60" s="36">
        <f>SUBTOTAL(109,Transportation183[Difference])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Insurance185[[#This Row],[Projected
cost]]-Insurance185[[#This Row],[Actual 
cost]]</f>
        <v>0</v>
      </c>
      <c r="E64" s="28"/>
      <c r="F64" s="32" t="s">
        <v>76</v>
      </c>
      <c r="G64" s="33">
        <v>0</v>
      </c>
      <c r="H64" s="33">
        <v>0</v>
      </c>
      <c r="I64" s="33">
        <f>Taxes187[[#This Row],[Projected 
cost]]-Taxes187[[#This Row],[Actual 
cost]]</f>
        <v>0</v>
      </c>
    </row>
    <row r="65" spans="1:9" ht="15.9" x14ac:dyDescent="0.45">
      <c r="A65" s="32" t="s">
        <v>77</v>
      </c>
      <c r="B65" s="33">
        <v>0</v>
      </c>
      <c r="C65" s="33">
        <v>0</v>
      </c>
      <c r="D65" s="33">
        <f>Insurance185[[#This Row],[Projected
cost]]-Insurance185[[#This Row],[Actual 
cost]]</f>
        <v>0</v>
      </c>
      <c r="E65" s="28"/>
      <c r="F65" s="32" t="s">
        <v>78</v>
      </c>
      <c r="G65" s="33">
        <v>0</v>
      </c>
      <c r="H65" s="33">
        <v>0</v>
      </c>
      <c r="I65" s="33">
        <f>Taxes187[[#This Row],[Projected 
cost]]-Taxes187[[#This Row],[Actual 
cost]]</f>
        <v>0</v>
      </c>
    </row>
    <row r="66" spans="1:9" ht="15.9" x14ac:dyDescent="0.45">
      <c r="A66" s="32" t="s">
        <v>79</v>
      </c>
      <c r="B66" s="33">
        <v>0</v>
      </c>
      <c r="C66" s="33">
        <v>0</v>
      </c>
      <c r="D66" s="33">
        <f>Insurance185[[#This Row],[Projected
cost]]-Insurance185[[#This Row],[Actual 
cost]]</f>
        <v>0</v>
      </c>
      <c r="E66" s="28"/>
      <c r="F66" s="32" t="s">
        <v>80</v>
      </c>
      <c r="G66" s="33">
        <v>0</v>
      </c>
      <c r="H66" s="33">
        <v>0</v>
      </c>
      <c r="I66" s="33">
        <f>Taxes187[[#This Row],[Projected 
cost]]-Taxes187[[#This Row],[Actual 
cost]]</f>
        <v>0</v>
      </c>
    </row>
    <row r="67" spans="1:9" ht="15.9" x14ac:dyDescent="0.45">
      <c r="A67" s="32" t="s">
        <v>61</v>
      </c>
      <c r="B67" s="33">
        <v>0</v>
      </c>
      <c r="C67" s="33">
        <v>0</v>
      </c>
      <c r="D67" s="33">
        <f>Insurance185[[#This Row],[Projected
cost]]-Insurance185[[#This Row],[Actual 
cost]]</f>
        <v>0</v>
      </c>
      <c r="E67" s="28"/>
      <c r="F67" s="32" t="s">
        <v>61</v>
      </c>
      <c r="G67" s="33">
        <v>0</v>
      </c>
      <c r="H67" s="33">
        <v>0</v>
      </c>
      <c r="I67" s="33">
        <f>Taxes187[[#This Row],[Projected 
cost]]-Taxes187[[#This Row],[Actual 
cost]]</f>
        <v>0</v>
      </c>
    </row>
    <row r="68" spans="1:9" ht="18.45" x14ac:dyDescent="0.45">
      <c r="A68" s="34" t="s">
        <v>64</v>
      </c>
      <c r="B68" s="35" t="s">
        <v>122</v>
      </c>
      <c r="C68" s="35">
        <f>SUM(Insurance185[Actual 
cost])</f>
        <v>0</v>
      </c>
      <c r="D68" s="36">
        <f>SUBTOTAL(109,Insurance185[Difference])</f>
        <v>0</v>
      </c>
      <c r="E68" s="28"/>
      <c r="F68" s="34" t="s">
        <v>64</v>
      </c>
      <c r="G68" s="35">
        <f>SUM(Taxes187[Projected 
cost])</f>
        <v>0</v>
      </c>
      <c r="H68" s="35">
        <f>SUM(Taxes187[Actual 
cost])</f>
        <v>0</v>
      </c>
      <c r="I68" s="36">
        <f>SUBTOTAL(109,Taxes187[Difference])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Food191[[#This Row],[Projected 
cost]]-Food191[[#This Row],[Actual 
cost]]</f>
        <v>0</v>
      </c>
      <c r="E72" s="28"/>
      <c r="F72" s="32" t="s">
        <v>83</v>
      </c>
      <c r="G72" s="33">
        <v>0</v>
      </c>
      <c r="H72" s="33">
        <v>0</v>
      </c>
      <c r="I72" s="33">
        <f>Savings189[[#This Row],[Projected 
cost]]-Savings189[[#This Row],[Actual 
cost]]</f>
        <v>0</v>
      </c>
    </row>
    <row r="73" spans="1:9" ht="15.9" x14ac:dyDescent="0.45">
      <c r="A73" s="32" t="s">
        <v>84</v>
      </c>
      <c r="B73" s="33">
        <v>0</v>
      </c>
      <c r="C73" s="33">
        <v>0</v>
      </c>
      <c r="D73" s="33">
        <f>Food191[[#This Row],[Projected 
cost]]-Food191[[#This Row],[Actual 
cost]]</f>
        <v>0</v>
      </c>
      <c r="E73" s="28"/>
      <c r="F73" s="32" t="s">
        <v>85</v>
      </c>
      <c r="G73" s="33">
        <v>0</v>
      </c>
      <c r="H73" s="33">
        <v>0</v>
      </c>
      <c r="I73" s="33">
        <f>Savings189[[#This Row],[Projected 
cost]]-Savings189[[#This Row],[Actual 
cost]]</f>
        <v>0</v>
      </c>
    </row>
    <row r="74" spans="1:9" ht="15.9" x14ac:dyDescent="0.45">
      <c r="A74" s="32" t="s">
        <v>61</v>
      </c>
      <c r="B74" s="33">
        <v>0</v>
      </c>
      <c r="C74" s="33">
        <v>0</v>
      </c>
      <c r="D74" s="33">
        <f>Food191[[#This Row],[Projected 
cost]]-Food191[[#This Row],[Actual 
cost]]</f>
        <v>0</v>
      </c>
      <c r="E74" s="28"/>
      <c r="F74" s="32" t="s">
        <v>61</v>
      </c>
      <c r="G74" s="33">
        <v>0</v>
      </c>
      <c r="H74" s="33">
        <v>0</v>
      </c>
      <c r="I74" s="33">
        <f>Savings189[[#This Row],[Projected 
cost]]-Savings189[[#This Row],[Actual 
cost]]</f>
        <v>0</v>
      </c>
    </row>
    <row r="75" spans="1:9" ht="18.45" x14ac:dyDescent="0.45">
      <c r="A75" s="34" t="s">
        <v>64</v>
      </c>
      <c r="B75" s="35">
        <f>SUM(Food191[Projected 
cost])</f>
        <v>0</v>
      </c>
      <c r="C75" s="35">
        <f>SUM(Food191[Actual 
cost])</f>
        <v>0</v>
      </c>
      <c r="D75" s="36">
        <f>SUBTOTAL(109,Food191[Difference])</f>
        <v>0</v>
      </c>
      <c r="E75" s="28"/>
      <c r="F75" s="34" t="s">
        <v>64</v>
      </c>
      <c r="G75" s="35">
        <f>SUM(Savings189[Projected 
cost])</f>
        <v>0</v>
      </c>
      <c r="H75" s="35">
        <f>SUM(Savings189[Actual 
cost])</f>
        <v>0</v>
      </c>
      <c r="I75" s="36">
        <f>SUBTOTAL(109,Savings189[Difference])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Pets195[[#This Row],[Projected 
cost]]-Pets195[[#This Row],[Actual 
cost]]</f>
        <v>0</v>
      </c>
      <c r="E79" s="28"/>
      <c r="F79" s="32" t="s">
        <v>87</v>
      </c>
      <c r="G79" s="33">
        <v>0</v>
      </c>
      <c r="H79" s="33">
        <v>0</v>
      </c>
      <c r="I79" s="33">
        <f>Gifts193[[#This Row],[Projected 
cost]]-Gifts193[[#This Row],[Actual 
cost]]</f>
        <v>0</v>
      </c>
    </row>
    <row r="80" spans="1:9" ht="15.9" x14ac:dyDescent="0.45">
      <c r="A80" s="32" t="s">
        <v>88</v>
      </c>
      <c r="B80" s="33">
        <v>0</v>
      </c>
      <c r="C80" s="33">
        <v>0</v>
      </c>
      <c r="D80" s="33">
        <f>Pets195[[#This Row],[Projected 
cost]]-Pets195[[#This Row],[Actual 
cost]]</f>
        <v>0</v>
      </c>
      <c r="E80" s="28"/>
      <c r="F80" s="32" t="s">
        <v>89</v>
      </c>
      <c r="G80" s="33">
        <v>0</v>
      </c>
      <c r="H80" s="33">
        <v>0</v>
      </c>
      <c r="I80" s="33">
        <f>Gifts193[[#This Row],[Projected 
cost]]-Gifts193[[#This Row],[Actual 
cost]]</f>
        <v>0</v>
      </c>
    </row>
    <row r="81" spans="1:10" ht="15.9" x14ac:dyDescent="0.45">
      <c r="A81" s="32" t="s">
        <v>90</v>
      </c>
      <c r="B81" s="33">
        <v>0</v>
      </c>
      <c r="C81" s="33">
        <v>0</v>
      </c>
      <c r="D81" s="33">
        <f>Pets195[[#This Row],[Projected 
cost]]-Pets195[[#This Row],[Actual 
cost]]</f>
        <v>0</v>
      </c>
      <c r="E81" s="28"/>
      <c r="F81" s="32" t="s">
        <v>91</v>
      </c>
      <c r="G81" s="33">
        <v>0</v>
      </c>
      <c r="H81" s="33">
        <v>0</v>
      </c>
      <c r="I81" s="33">
        <f>Gifts193[[#This Row],[Projected 
cost]]-Gifts193[[#This Row],[Actual 
cost]]</f>
        <v>0</v>
      </c>
    </row>
    <row r="82" spans="1:10" ht="18.45" x14ac:dyDescent="0.45">
      <c r="A82" s="32" t="s">
        <v>92</v>
      </c>
      <c r="B82" s="33">
        <v>0</v>
      </c>
      <c r="C82" s="33">
        <v>0</v>
      </c>
      <c r="D82" s="33">
        <f>Pets195[[#This Row],[Projected 
cost]]-Pets195[[#This Row],[Actual 
cost]]</f>
        <v>0</v>
      </c>
      <c r="E82" s="28"/>
      <c r="F82" s="34" t="s">
        <v>64</v>
      </c>
      <c r="G82" s="35">
        <f>SUM(Gifts193[Projected 
cost])</f>
        <v>0</v>
      </c>
      <c r="H82" s="35">
        <f>SUM(Gifts193[Actual 
cost])</f>
        <v>0</v>
      </c>
      <c r="I82" s="36">
        <f>SUBTOTAL(109,Gifts193[Difference])</f>
        <v>0</v>
      </c>
    </row>
    <row r="83" spans="1:10" ht="18.45" x14ac:dyDescent="0.45">
      <c r="A83" s="32" t="s">
        <v>61</v>
      </c>
      <c r="B83" s="33">
        <v>0</v>
      </c>
      <c r="C83" s="33">
        <v>0</v>
      </c>
      <c r="D83" s="33">
        <f>Pets195[[#This Row],[Projected 
cost]]-Pets195[[#This Row],[Actual 
cost]]</f>
        <v>0</v>
      </c>
      <c r="E83" s="28"/>
      <c r="F83" s="39"/>
      <c r="G83" s="46"/>
      <c r="H83" s="46"/>
      <c r="I83" s="33"/>
    </row>
    <row r="84" spans="1:10" ht="18.45" x14ac:dyDescent="0.45">
      <c r="A84" s="34" t="s">
        <v>64</v>
      </c>
      <c r="B84" s="51">
        <f>SUM(Pets195[Projected 
cost])</f>
        <v>0</v>
      </c>
      <c r="C84" s="51">
        <f>SUM(Pets195[Actual 
cost])</f>
        <v>0</v>
      </c>
      <c r="D84" s="51">
        <f>SUBTOTAL(109,Pets195[Difference])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PersonalCare197[[#This Row],[Projected 
cost]]-PersonalCare197[[#This Row],[Actual 
cost]]</f>
        <v>0</v>
      </c>
      <c r="E88" s="28"/>
      <c r="F88" s="32" t="s">
        <v>87</v>
      </c>
      <c r="G88" s="33">
        <v>0</v>
      </c>
      <c r="H88" s="33">
        <v>0</v>
      </c>
      <c r="I88" s="33">
        <f>Legal198[[#This Row],[Projected 
cost]]-Legal198[[#This Row],[Actual 
cost]]</f>
        <v>0</v>
      </c>
    </row>
    <row r="89" spans="1:10" ht="15.9" x14ac:dyDescent="0.45">
      <c r="A89" s="32" t="s">
        <v>94</v>
      </c>
      <c r="B89" s="33">
        <v>0</v>
      </c>
      <c r="C89" s="33">
        <v>0</v>
      </c>
      <c r="D89" s="33">
        <f>PersonalCare197[[#This Row],[Projected 
cost]]-PersonalCare197[[#This Row],[Actual 
cost]]</f>
        <v>0</v>
      </c>
      <c r="E89" s="28"/>
      <c r="F89" s="32" t="s">
        <v>89</v>
      </c>
      <c r="G89" s="33">
        <v>0</v>
      </c>
      <c r="H89" s="33">
        <v>0</v>
      </c>
      <c r="I89" s="33">
        <f>Legal198[[#This Row],[Projected 
cost]]-Legal198[[#This Row],[Actual 
cost]]</f>
        <v>0</v>
      </c>
    </row>
    <row r="90" spans="1:10" ht="15.9" x14ac:dyDescent="0.45">
      <c r="A90" s="32" t="s">
        <v>95</v>
      </c>
      <c r="B90" s="33">
        <v>0</v>
      </c>
      <c r="C90" s="33">
        <v>0</v>
      </c>
      <c r="D90" s="33">
        <f>PersonalCare197[[#This Row],[Projected 
cost]]-PersonalCare197[[#This Row],[Actual 
cost]]</f>
        <v>0</v>
      </c>
      <c r="E90" s="28"/>
      <c r="F90" s="32" t="s">
        <v>91</v>
      </c>
      <c r="G90" s="33">
        <v>0</v>
      </c>
      <c r="H90" s="33">
        <v>0</v>
      </c>
      <c r="I90" s="33">
        <f>Legal198[[#This Row],[Projected 
cost]]-Legal198[[#This Row],[Actual 
cost]]</f>
        <v>0</v>
      </c>
    </row>
    <row r="91" spans="1:10" ht="15.9" x14ac:dyDescent="0.45">
      <c r="A91" s="32" t="s">
        <v>96</v>
      </c>
      <c r="B91" s="33">
        <v>0</v>
      </c>
      <c r="C91" s="33">
        <v>0</v>
      </c>
      <c r="D91" s="33">
        <f>PersonalCare197[[#This Row],[Projected 
cost]]-PersonalCare197[[#This Row],[Actual 
cost]]</f>
        <v>0</v>
      </c>
      <c r="E91" s="28"/>
      <c r="F91" s="32" t="s">
        <v>97</v>
      </c>
      <c r="G91" s="33">
        <v>0</v>
      </c>
      <c r="H91" s="33">
        <v>0</v>
      </c>
      <c r="I91" s="33">
        <f>Legal198[[#This Row],[Projected 
cost]]-Legal198[[#This Row],[Actual 
cost]]</f>
        <v>0</v>
      </c>
    </row>
    <row r="92" spans="1:10" ht="18.45" x14ac:dyDescent="0.45">
      <c r="A92" s="32" t="s">
        <v>98</v>
      </c>
      <c r="B92" s="33">
        <v>0</v>
      </c>
      <c r="C92" s="33">
        <v>0</v>
      </c>
      <c r="D92" s="33">
        <f>PersonalCare197[[#This Row],[Projected 
cost]]-PersonalCare197[[#This Row],[Actual 
cost]]</f>
        <v>0</v>
      </c>
      <c r="E92" s="28"/>
      <c r="F92" s="34" t="s">
        <v>64</v>
      </c>
      <c r="G92" s="35">
        <f>SUM(Legal198[Projected 
cost])</f>
        <v>0</v>
      </c>
      <c r="H92" s="35">
        <f>SUM(Legal198[Actual 
cost])</f>
        <v>0</v>
      </c>
      <c r="I92" s="36">
        <f>SUBTOTAL(109,Legal198[Difference])</f>
        <v>0</v>
      </c>
    </row>
    <row r="93" spans="1:10" ht="15.9" x14ac:dyDescent="0.45">
      <c r="A93" s="32" t="s">
        <v>99</v>
      </c>
      <c r="B93" s="33">
        <v>0</v>
      </c>
      <c r="C93" s="33">
        <v>0</v>
      </c>
      <c r="D93" s="33">
        <f>PersonalCare197[[#This Row],[Projected 
cost]]-PersonalCare197[[#This Row],[Actual 
cost]]</f>
        <v>0</v>
      </c>
      <c r="E93" s="28"/>
      <c r="F93" s="38"/>
      <c r="G93" s="38"/>
      <c r="H93" s="38"/>
      <c r="I93" s="38"/>
    </row>
    <row r="94" spans="1:10" ht="15.9" customHeight="1" x14ac:dyDescent="0.45">
      <c r="A94" s="32" t="s">
        <v>61</v>
      </c>
      <c r="B94" s="33">
        <v>0</v>
      </c>
      <c r="C94" s="33">
        <v>0</v>
      </c>
      <c r="D94" s="33">
        <f>PersonalCare197[[#This Row],[Projected 
cost]]-PersonalCare197[[#This Row],[Actual 
cost]]</f>
        <v>0</v>
      </c>
      <c r="E94" s="28"/>
      <c r="F94" s="67" t="s">
        <v>121</v>
      </c>
      <c r="G94" s="67"/>
      <c r="H94" s="67"/>
      <c r="I94" s="68">
        <f>J59</f>
        <v>0</v>
      </c>
      <c r="J94" s="69" t="s">
        <v>123</v>
      </c>
    </row>
    <row r="95" spans="1:10" ht="18.45" x14ac:dyDescent="0.45">
      <c r="A95" s="34" t="s">
        <v>64</v>
      </c>
      <c r="B95" s="35">
        <f>SUM(PersonalCare197[Projected 
cost])</f>
        <v>0</v>
      </c>
      <c r="C95" s="35">
        <f>SUM(PersonalCare197[Actual 
cost])</f>
        <v>0</v>
      </c>
      <c r="D95" s="36">
        <f>SUBTOTAL(109,PersonalCare197[Difference])</f>
        <v>0</v>
      </c>
      <c r="E95" s="28"/>
      <c r="F95" s="67"/>
      <c r="G95" s="67"/>
      <c r="H95" s="67"/>
      <c r="I95" s="68"/>
      <c r="J95" s="69"/>
    </row>
    <row r="96" spans="1:10" ht="15.9" x14ac:dyDescent="0.45">
      <c r="A96" s="54"/>
      <c r="B96" s="54"/>
      <c r="C96" s="54"/>
      <c r="D96" s="54"/>
      <c r="E96" s="28"/>
      <c r="F96" s="76" t="s">
        <v>100</v>
      </c>
      <c r="G96" s="76"/>
      <c r="H96" s="76"/>
      <c r="I96" s="78">
        <f>SUBTOTAL(109,Housing179[Projected
cost],Transportation183[Projected 
cost],Insurance185[Projected
cost],Food191[Projected 
cost],Pets195[Projected 
cost],PersonalCare197[Projected 
cost],Entertainment180[Projected 
cost],Loans182[Projected 
cost],Taxes187[Projected 
cost],Savings189[Projected 
cost],Gifts193[Projected 
cost],Legal198[Projected 
cost])</f>
        <v>0</v>
      </c>
      <c r="J96" s="69"/>
    </row>
    <row r="97" spans="5:10" ht="15.9" x14ac:dyDescent="0.45">
      <c r="E97" s="28"/>
      <c r="F97" s="76"/>
      <c r="G97" s="76"/>
      <c r="H97" s="76"/>
      <c r="I97" s="78"/>
      <c r="J97" s="69"/>
    </row>
    <row r="98" spans="5:10" ht="15.9" x14ac:dyDescent="0.45">
      <c r="E98" s="28"/>
      <c r="F98" s="79" t="s">
        <v>101</v>
      </c>
      <c r="G98" s="79"/>
      <c r="H98" s="79"/>
      <c r="I98" s="80">
        <f>SUBTOTAL(109,Housing179[Actual 
cost],Transportation183[Actual 
cost],Insurance185[Actual 
cost],Food191[Actual 
cost],Pets195[Actual 
cost],PersonalCare197[Actual 
cost],Entertainment180[Actual 
cost],Loans182[Actual 
cost],Taxes187[Actual 
cost],Savings189[Actual 
cost],Gifts193[Actual 
cost],Legal198[Actual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8F3B92-32ED-442E-92BA-C6A64E06CA87}">
  <sheetPr>
    <tabColor theme="5"/>
  </sheetPr>
  <dimension ref="B1:T65"/>
  <sheetViews>
    <sheetView zoomScale="62" workbookViewId="0">
      <selection activeCell="D46" sqref="D4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'January Budget'!J55</f>
        <v>0</v>
      </c>
      <c r="D4" s="42">
        <f>'January Budget'!H55</f>
        <v>0</v>
      </c>
      <c r="E4" s="59">
        <v>0</v>
      </c>
      <c r="F4" s="3" t="s">
        <v>107</v>
      </c>
      <c r="G4" s="60" t="s">
        <v>109</v>
      </c>
      <c r="H4" s="7"/>
      <c r="I4" s="7"/>
      <c r="J4" s="7"/>
      <c r="K4" s="7"/>
      <c r="L4" s="7"/>
      <c r="M4" s="7"/>
      <c r="N4" s="7"/>
      <c r="O4" s="7"/>
      <c r="P4" s="2"/>
      <c r="Q4" s="2"/>
      <c r="R4" s="2"/>
      <c r="S4" s="2"/>
      <c r="T4" s="2"/>
    </row>
    <row r="5" spans="2:20" ht="14.6" x14ac:dyDescent="0.4">
      <c r="B5" s="10"/>
      <c r="C5" s="57">
        <f>'January Budget'!J56</f>
        <v>0</v>
      </c>
      <c r="D5" s="42">
        <f>'January Budget'!H56</f>
        <v>0</v>
      </c>
      <c r="E5" s="59"/>
      <c r="F5" s="3" t="s">
        <v>108</v>
      </c>
    </row>
    <row r="6" spans="2:20" ht="14.6" x14ac:dyDescent="0.4">
      <c r="B6" s="10"/>
      <c r="C6" s="10">
        <f>'January Budget'!J57</f>
        <v>0</v>
      </c>
      <c r="D6" s="42">
        <f>'January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'January Budget'!J54</f>
        <v>0</v>
      </c>
      <c r="E45" s="9">
        <v>0</v>
      </c>
      <c r="F45" s="10">
        <f>'January Budget'!H54</f>
        <v>0</v>
      </c>
      <c r="G45" s="3" t="s">
        <v>112</v>
      </c>
    </row>
    <row r="46" spans="2:7" ht="15" customHeight="1" x14ac:dyDescent="0.4">
      <c r="C46" t="s">
        <v>67</v>
      </c>
      <c r="D46" s="10">
        <f>'January Budget'!J53</f>
        <v>0</v>
      </c>
      <c r="F46" s="10">
        <f>'January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362666EE-3F53-48C3-B5D8-047E9521C152}"/>
    <hyperlink ref="F4" r:id="rId2" xr:uid="{186FEBC1-3373-42C0-B6D8-14E9010B5B9A}"/>
    <hyperlink ref="F5" r:id="rId3" xr:uid="{E01B5A38-0F5C-4E62-A897-667234845BEC}"/>
  </hyperlinks>
  <pageMargins left="0.7" right="0.7" top="0.75" bottom="0.75" header="0.3" footer="0.3"/>
  <drawing r:id="rId4"/>
  <tableParts count="4">
    <tablePart r:id="rId5"/>
    <tablePart r:id="rId6"/>
    <tablePart r:id="rId7"/>
    <tablePart r:id="rId8"/>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FA3C3-DA02-4EEC-A1EF-FCF84DC5AEFF}">
  <sheetPr>
    <tabColor rgb="FFFF0000"/>
  </sheetPr>
  <dimension ref="A1:O150"/>
  <sheetViews>
    <sheetView topLeftCell="A44" zoomScale="59" workbookViewId="0">
      <selection activeCell="L71" sqref="L71"/>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Entertainment180206232[[#This Row],[Projected 
cost]]-Entertainment180206232[[#This Row],[Actual 
cost]]</f>
        <v>0</v>
      </c>
    </row>
    <row r="40" spans="1:9" ht="15.9" x14ac:dyDescent="0.45">
      <c r="A40" s="31" t="s">
        <v>50</v>
      </c>
      <c r="B40" s="4">
        <v>0</v>
      </c>
      <c r="C40" s="4">
        <v>0</v>
      </c>
      <c r="D40" s="4"/>
      <c r="E40" s="28"/>
      <c r="F40" s="32" t="s">
        <v>51</v>
      </c>
      <c r="G40" s="33">
        <v>0</v>
      </c>
      <c r="H40" s="33">
        <v>0</v>
      </c>
      <c r="I40" s="33">
        <f>Entertainment180206232[[#This Row],[Projected 
cost]]-Entertainment180206232[[#This Row],[Actual 
cost]]</f>
        <v>0</v>
      </c>
    </row>
    <row r="41" spans="1:9" ht="15.9" x14ac:dyDescent="0.45">
      <c r="A41" s="31" t="s">
        <v>52</v>
      </c>
      <c r="B41" s="4">
        <v>0</v>
      </c>
      <c r="C41" s="4">
        <v>0</v>
      </c>
      <c r="D41" s="4"/>
      <c r="E41" s="28"/>
      <c r="F41" s="32" t="s">
        <v>53</v>
      </c>
      <c r="G41" s="33">
        <v>0</v>
      </c>
      <c r="H41" s="33">
        <v>0</v>
      </c>
      <c r="I41" s="33">
        <f>Entertainment180206232[[#This Row],[Projected 
cost]]-Entertainment180206232[[#This Row],[Actual 
cost]]</f>
        <v>0</v>
      </c>
    </row>
    <row r="42" spans="1:9" ht="15.9" x14ac:dyDescent="0.45">
      <c r="A42" s="31" t="s">
        <v>54</v>
      </c>
      <c r="B42" s="4">
        <v>0</v>
      </c>
      <c r="C42" s="4">
        <v>0</v>
      </c>
      <c r="D42" s="4"/>
      <c r="E42" s="28"/>
      <c r="F42" s="32" t="s">
        <v>55</v>
      </c>
      <c r="G42" s="33">
        <v>0</v>
      </c>
      <c r="H42" s="33">
        <v>0</v>
      </c>
      <c r="I42" s="33">
        <f>Entertainment180206232[[#This Row],[Projected 
cost]]-Entertainment180206232[[#This Row],[Actual 
cost]]</f>
        <v>0</v>
      </c>
    </row>
    <row r="43" spans="1:9" ht="15.9" x14ac:dyDescent="0.45">
      <c r="A43" s="31" t="s">
        <v>56</v>
      </c>
      <c r="B43" s="4">
        <v>0</v>
      </c>
      <c r="C43" s="4">
        <v>0</v>
      </c>
      <c r="D43" s="4"/>
      <c r="E43" s="28"/>
      <c r="F43" s="32" t="s">
        <v>57</v>
      </c>
      <c r="G43" s="33">
        <v>0</v>
      </c>
      <c r="H43" s="33">
        <v>0</v>
      </c>
      <c r="I43" s="33">
        <f>Entertainment180206232[[#This Row],[Projected 
cost]]-Entertainment180206232[[#This Row],[Actual 
cost]]</f>
        <v>0</v>
      </c>
    </row>
    <row r="44" spans="1:9" ht="15.9" x14ac:dyDescent="0.45">
      <c r="A44" s="31" t="s">
        <v>58</v>
      </c>
      <c r="B44" s="4">
        <v>0</v>
      </c>
      <c r="C44" s="4">
        <v>0</v>
      </c>
      <c r="D44" s="4"/>
      <c r="E44" s="28"/>
      <c r="F44" s="32" t="s">
        <v>59</v>
      </c>
      <c r="G44" s="33">
        <v>0</v>
      </c>
      <c r="H44" s="33">
        <v>0</v>
      </c>
      <c r="I44" s="33">
        <f>Entertainment180206232[[#This Row],[Projected 
cost]]-Entertainment180206232[[#This Row],[Actual 
cost]]</f>
        <v>0</v>
      </c>
    </row>
    <row r="45" spans="1:9" ht="15.9" x14ac:dyDescent="0.45">
      <c r="A45" s="31" t="s">
        <v>60</v>
      </c>
      <c r="B45" s="4">
        <v>0</v>
      </c>
      <c r="C45" s="4">
        <v>0</v>
      </c>
      <c r="D45" s="4"/>
      <c r="E45" s="28"/>
      <c r="F45" s="32" t="s">
        <v>61</v>
      </c>
      <c r="G45" s="33">
        <v>0</v>
      </c>
      <c r="H45" s="33">
        <v>0</v>
      </c>
      <c r="I45" s="33">
        <f>Entertainment180206232[[#This Row],[Projected 
cost]]-Entertainment180206232[[#This Row],[Actual 
cost]]</f>
        <v>0</v>
      </c>
    </row>
    <row r="46" spans="1:9" ht="15.9" x14ac:dyDescent="0.45">
      <c r="A46" s="31" t="s">
        <v>62</v>
      </c>
      <c r="B46" s="4">
        <v>0</v>
      </c>
      <c r="C46" s="4">
        <v>0</v>
      </c>
      <c r="D46" s="4"/>
      <c r="E46" s="28"/>
      <c r="F46" s="32" t="s">
        <v>61</v>
      </c>
      <c r="G46" s="33">
        <v>0</v>
      </c>
      <c r="H46" s="33">
        <v>0</v>
      </c>
      <c r="I46" s="33">
        <f>Entertainment180206232[[#This Row],[Projected 
cost]]-Entertainment180206232[[#This Row],[Actual 
cost]]</f>
        <v>0</v>
      </c>
    </row>
    <row r="47" spans="1:9" ht="15.9" x14ac:dyDescent="0.45">
      <c r="A47" s="31" t="s">
        <v>63</v>
      </c>
      <c r="B47" s="4">
        <v>0</v>
      </c>
      <c r="C47" s="4">
        <v>0</v>
      </c>
      <c r="D47" s="4"/>
      <c r="E47" s="28"/>
      <c r="F47" s="32" t="s">
        <v>61</v>
      </c>
      <c r="G47" s="33">
        <v>0</v>
      </c>
      <c r="H47" s="33">
        <v>0</v>
      </c>
      <c r="I47" s="33">
        <f>Entertainment180206232[[#This Row],[Projected 
cost]]-Entertainment180206232[[#This Row],[Actual 
cost]]</f>
        <v>0</v>
      </c>
    </row>
    <row r="48" spans="1:9" ht="18.45" x14ac:dyDescent="0.45">
      <c r="A48" s="31" t="s">
        <v>61</v>
      </c>
      <c r="B48" s="4">
        <v>0</v>
      </c>
      <c r="C48" s="4">
        <v>0</v>
      </c>
      <c r="D48" s="4"/>
      <c r="E48" s="28"/>
      <c r="F48" s="34" t="s">
        <v>64</v>
      </c>
      <c r="G48" s="35">
        <f>SUM(Entertainment180206232[Projected 
cost])</f>
        <v>0</v>
      </c>
      <c r="H48" s="35">
        <f>SUM(Entertainment180206232[Actual 
cost])</f>
        <v>0</v>
      </c>
      <c r="I48" s="36">
        <f>SUBTOTAL(109,Entertainment180206232[Difference])</f>
        <v>0</v>
      </c>
    </row>
    <row r="49" spans="1:10" ht="18.45" x14ac:dyDescent="0.45">
      <c r="A49" s="37" t="s">
        <v>64</v>
      </c>
      <c r="B49" s="4">
        <f>SUM(Housing179205231[Projected
cost])</f>
        <v>0</v>
      </c>
      <c r="C49" s="4">
        <f>SUM(Housing179205231[Actual 
cost])</f>
        <v>0</v>
      </c>
      <c r="D49" s="4">
        <f>SUBTOTAL(109,Housing179205231[Difference])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Transportation183208234[[#This Row],[Projected 
cost]]-Transportation183208234[[#This Row],[Actual 
cost]]</f>
        <v>0</v>
      </c>
      <c r="E53" s="28"/>
      <c r="F53" s="32" t="s">
        <v>67</v>
      </c>
      <c r="G53" s="33">
        <v>0</v>
      </c>
      <c r="H53" s="33">
        <v>0</v>
      </c>
      <c r="I53" s="33">
        <f>Loans182207233[[#This Row],[Projected 
cost]]-Loans182207233[[#This Row],[Actual 
cost]]</f>
        <v>0</v>
      </c>
      <c r="J53" s="42">
        <v>0</v>
      </c>
    </row>
    <row r="54" spans="1:10" ht="15.9" x14ac:dyDescent="0.45">
      <c r="A54" s="32" t="s">
        <v>68</v>
      </c>
      <c r="B54" s="33">
        <v>0</v>
      </c>
      <c r="C54" s="33">
        <v>0</v>
      </c>
      <c r="D54" s="33">
        <f>Transportation183208234[[#This Row],[Projected 
cost]]-Transportation183208234[[#This Row],[Actual 
cost]]</f>
        <v>0</v>
      </c>
      <c r="E54" s="28"/>
      <c r="F54" s="32" t="s">
        <v>69</v>
      </c>
      <c r="G54" s="33">
        <v>0</v>
      </c>
      <c r="H54" s="33">
        <v>0</v>
      </c>
      <c r="I54" s="33">
        <f>Loans182207233[[#This Row],[Projected 
cost]]-Loans182207233[[#This Row],[Actual 
cost]]</f>
        <v>0</v>
      </c>
      <c r="J54" s="42">
        <v>0</v>
      </c>
    </row>
    <row r="55" spans="1:10" ht="15.9" x14ac:dyDescent="0.45">
      <c r="A55" s="32" t="s">
        <v>70</v>
      </c>
      <c r="B55" s="33">
        <v>0</v>
      </c>
      <c r="C55" s="33">
        <v>0</v>
      </c>
      <c r="D55" s="33">
        <f>Transportation183208234[[#This Row],[Projected 
cost]]-Transportation183208234[[#This Row],[Actual 
cost]]</f>
        <v>0</v>
      </c>
      <c r="E55" s="28"/>
      <c r="F55" s="32" t="s">
        <v>71</v>
      </c>
      <c r="G55" s="33">
        <v>0</v>
      </c>
      <c r="H55" s="33">
        <v>0</v>
      </c>
      <c r="I55" s="33">
        <f>Loans182207233[[#This Row],[Projected 
cost]]-Loans182207233[[#This Row],[Actual 
cost]]</f>
        <v>0</v>
      </c>
      <c r="J55" s="42">
        <v>0</v>
      </c>
    </row>
    <row r="56" spans="1:10" ht="15.9" x14ac:dyDescent="0.45">
      <c r="A56" s="32" t="s">
        <v>72</v>
      </c>
      <c r="B56" s="33">
        <v>0</v>
      </c>
      <c r="C56" s="33">
        <v>0</v>
      </c>
      <c r="D56" s="33">
        <f>Transportation183208234[[#This Row],[Projected 
cost]]-Transportation183208234[[#This Row],[Actual 
cost]]</f>
        <v>0</v>
      </c>
      <c r="E56" s="28"/>
      <c r="F56" s="32" t="s">
        <v>71</v>
      </c>
      <c r="G56" s="33">
        <v>0</v>
      </c>
      <c r="H56" s="33">
        <v>0</v>
      </c>
      <c r="I56" s="33">
        <f>Loans182207233[[#This Row],[Projected 
cost]]-Loans182207233[[#This Row],[Actual 
cost]]</f>
        <v>0</v>
      </c>
      <c r="J56" s="42">
        <v>0</v>
      </c>
    </row>
    <row r="57" spans="1:10" ht="15.9" x14ac:dyDescent="0.45">
      <c r="A57" s="32" t="s">
        <v>73</v>
      </c>
      <c r="B57" s="33">
        <v>0</v>
      </c>
      <c r="C57" s="33">
        <v>0</v>
      </c>
      <c r="D57" s="33">
        <f>Transportation183208234[[#This Row],[Projected 
cost]]-Transportation183208234[[#This Row],[Actual 
cost]]</f>
        <v>0</v>
      </c>
      <c r="E57" s="28"/>
      <c r="F57" s="32" t="s">
        <v>71</v>
      </c>
      <c r="G57" s="33">
        <v>0</v>
      </c>
      <c r="H57" s="33">
        <v>0</v>
      </c>
      <c r="I57" s="33">
        <f>Loans182207233[[#This Row],[Projected 
cost]]-Loans182207233[[#This Row],[Actual 
cost]]</f>
        <v>0</v>
      </c>
      <c r="J57" s="42">
        <v>0</v>
      </c>
    </row>
    <row r="58" spans="1:10" ht="15.9" x14ac:dyDescent="0.45">
      <c r="A58" s="32" t="s">
        <v>74</v>
      </c>
      <c r="B58" s="33">
        <v>0</v>
      </c>
      <c r="C58" s="33">
        <v>0</v>
      </c>
      <c r="D58" s="33">
        <f>Transportation183208234[[#This Row],[Projected 
cost]]-Transportation183208234[[#This Row],[Actual 
cost]]</f>
        <v>0</v>
      </c>
      <c r="E58" s="28"/>
      <c r="F58" s="32" t="s">
        <v>61</v>
      </c>
      <c r="G58" s="33">
        <v>0</v>
      </c>
      <c r="H58" s="33">
        <v>0</v>
      </c>
      <c r="I58" s="33">
        <f>Loans182207233[[#This Row],[Projected 
cost]]-Loans182207233[[#This Row],[Actual 
cost]]</f>
        <v>0</v>
      </c>
      <c r="J58" s="42">
        <v>0</v>
      </c>
    </row>
    <row r="59" spans="1:10" ht="18.45" x14ac:dyDescent="0.45">
      <c r="A59" s="32" t="s">
        <v>61</v>
      </c>
      <c r="B59" s="33">
        <v>0</v>
      </c>
      <c r="C59" s="33">
        <v>0</v>
      </c>
      <c r="D59" s="33">
        <f>Transportation183208234[[#This Row],[Projected 
cost]]-Transportation183208234[[#This Row],[Actual 
cost]]</f>
        <v>0</v>
      </c>
      <c r="E59" s="28"/>
      <c r="F59" s="34" t="s">
        <v>64</v>
      </c>
      <c r="G59" s="35">
        <f>SUM(Loans182207233[Projected 
cost])</f>
        <v>0</v>
      </c>
      <c r="H59" s="35">
        <f>SUM(Loans182207233[Actual 
cost])</f>
        <v>0</v>
      </c>
      <c r="I59" s="36">
        <f>SUBTOTAL(109,Loans182207233[Difference])</f>
        <v>0</v>
      </c>
      <c r="J59" s="43">
        <f>SUM(J53:J58)</f>
        <v>0</v>
      </c>
    </row>
    <row r="60" spans="1:10" ht="18.45" x14ac:dyDescent="0.45">
      <c r="A60" s="34" t="s">
        <v>64</v>
      </c>
      <c r="B60" s="35">
        <f>SUM(Transportation183208234[Projected 
cost])</f>
        <v>0</v>
      </c>
      <c r="C60" s="35">
        <f>SUM(Transportation183208234[Actual 
cost])</f>
        <v>0</v>
      </c>
      <c r="D60" s="36">
        <f>SUBTOTAL(109,Transportation183208234[Difference])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Insurance185209235[[#This Row],[Projected
cost]]-Insurance185209235[[#This Row],[Actual 
cost]]</f>
        <v>0</v>
      </c>
      <c r="E64" s="28"/>
      <c r="F64" s="32" t="s">
        <v>76</v>
      </c>
      <c r="G64" s="33">
        <v>0</v>
      </c>
      <c r="H64" s="33">
        <v>0</v>
      </c>
      <c r="I64" s="33">
        <f>Taxes187210236[[#This Row],[Projected 
cost]]-Taxes187210236[[#This Row],[Actual 
cost]]</f>
        <v>0</v>
      </c>
    </row>
    <row r="65" spans="1:9" ht="15.9" x14ac:dyDescent="0.45">
      <c r="A65" s="32" t="s">
        <v>77</v>
      </c>
      <c r="B65" s="33">
        <v>0</v>
      </c>
      <c r="C65" s="33">
        <v>0</v>
      </c>
      <c r="D65" s="33">
        <f>Insurance185209235[[#This Row],[Projected
cost]]-Insurance185209235[[#This Row],[Actual 
cost]]</f>
        <v>0</v>
      </c>
      <c r="E65" s="28"/>
      <c r="F65" s="32" t="s">
        <v>78</v>
      </c>
      <c r="G65" s="33">
        <v>0</v>
      </c>
      <c r="H65" s="33">
        <v>0</v>
      </c>
      <c r="I65" s="33">
        <f>Taxes187210236[[#This Row],[Projected 
cost]]-Taxes187210236[[#This Row],[Actual 
cost]]</f>
        <v>0</v>
      </c>
    </row>
    <row r="66" spans="1:9" ht="15.9" x14ac:dyDescent="0.45">
      <c r="A66" s="32" t="s">
        <v>79</v>
      </c>
      <c r="B66" s="33">
        <v>0</v>
      </c>
      <c r="C66" s="33">
        <v>0</v>
      </c>
      <c r="D66" s="33">
        <f>Insurance185209235[[#This Row],[Projected
cost]]-Insurance185209235[[#This Row],[Actual 
cost]]</f>
        <v>0</v>
      </c>
      <c r="E66" s="28"/>
      <c r="F66" s="32" t="s">
        <v>80</v>
      </c>
      <c r="G66" s="33">
        <v>0</v>
      </c>
      <c r="H66" s="33">
        <v>0</v>
      </c>
      <c r="I66" s="33">
        <f>Taxes187210236[[#This Row],[Projected 
cost]]-Taxes187210236[[#This Row],[Actual 
cost]]</f>
        <v>0</v>
      </c>
    </row>
    <row r="67" spans="1:9" ht="15.9" x14ac:dyDescent="0.45">
      <c r="A67" s="32" t="s">
        <v>61</v>
      </c>
      <c r="B67" s="33">
        <v>0</v>
      </c>
      <c r="C67" s="33">
        <v>0</v>
      </c>
      <c r="D67" s="33">
        <f>Insurance185209235[[#This Row],[Projected
cost]]-Insurance185209235[[#This Row],[Actual 
cost]]</f>
        <v>0</v>
      </c>
      <c r="E67" s="28"/>
      <c r="F67" s="32" t="s">
        <v>61</v>
      </c>
      <c r="G67" s="33">
        <v>0</v>
      </c>
      <c r="H67" s="33">
        <v>0</v>
      </c>
      <c r="I67" s="33">
        <f>Taxes187210236[[#This Row],[Projected 
cost]]-Taxes187210236[[#This Row],[Actual 
cost]]</f>
        <v>0</v>
      </c>
    </row>
    <row r="68" spans="1:9" ht="18.45" x14ac:dyDescent="0.45">
      <c r="A68" s="34" t="s">
        <v>64</v>
      </c>
      <c r="B68" s="35" t="s">
        <v>122</v>
      </c>
      <c r="C68" s="35">
        <f>SUM(Insurance185209235[Actual 
cost])</f>
        <v>0</v>
      </c>
      <c r="D68" s="36">
        <f>SUBTOTAL(109,Insurance185209235[Difference])</f>
        <v>0</v>
      </c>
      <c r="E68" s="28"/>
      <c r="F68" s="34" t="s">
        <v>64</v>
      </c>
      <c r="G68" s="35">
        <f>SUM(Taxes187210236[Projected 
cost])</f>
        <v>0</v>
      </c>
      <c r="H68" s="35">
        <f>SUM(Taxes187210236[Actual 
cost])</f>
        <v>0</v>
      </c>
      <c r="I68" s="36">
        <f>SUBTOTAL(109,Taxes187210236[Difference])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Food191212238[[#This Row],[Projected 
cost]]-Food191212238[[#This Row],[Actual 
cost]]</f>
        <v>0</v>
      </c>
      <c r="E72" s="28"/>
      <c r="F72" s="32" t="s">
        <v>83</v>
      </c>
      <c r="G72" s="33">
        <v>0</v>
      </c>
      <c r="H72" s="33">
        <v>0</v>
      </c>
      <c r="I72" s="33">
        <f>Savings189211237[[#This Row],[Projected 
cost]]-Savings189211237[[#This Row],[Actual 
cost]]</f>
        <v>0</v>
      </c>
    </row>
    <row r="73" spans="1:9" ht="15.9" x14ac:dyDescent="0.45">
      <c r="A73" s="32" t="s">
        <v>84</v>
      </c>
      <c r="B73" s="33">
        <v>0</v>
      </c>
      <c r="C73" s="33">
        <v>0</v>
      </c>
      <c r="D73" s="33">
        <f>Food191212238[[#This Row],[Projected 
cost]]-Food191212238[[#This Row],[Actual 
cost]]</f>
        <v>0</v>
      </c>
      <c r="E73" s="28"/>
      <c r="F73" s="32" t="s">
        <v>85</v>
      </c>
      <c r="G73" s="33">
        <v>0</v>
      </c>
      <c r="H73" s="33">
        <v>0</v>
      </c>
      <c r="I73" s="33">
        <f>Savings189211237[[#This Row],[Projected 
cost]]-Savings189211237[[#This Row],[Actual 
cost]]</f>
        <v>0</v>
      </c>
    </row>
    <row r="74" spans="1:9" ht="15.9" x14ac:dyDescent="0.45">
      <c r="A74" s="32" t="s">
        <v>61</v>
      </c>
      <c r="B74" s="33">
        <v>0</v>
      </c>
      <c r="C74" s="33">
        <v>0</v>
      </c>
      <c r="D74" s="33">
        <f>Food191212238[[#This Row],[Projected 
cost]]-Food191212238[[#This Row],[Actual 
cost]]</f>
        <v>0</v>
      </c>
      <c r="E74" s="28"/>
      <c r="F74" s="32" t="s">
        <v>61</v>
      </c>
      <c r="G74" s="33">
        <v>0</v>
      </c>
      <c r="H74" s="33">
        <v>0</v>
      </c>
      <c r="I74" s="33">
        <f>Savings189211237[[#This Row],[Projected 
cost]]-Savings189211237[[#This Row],[Actual 
cost]]</f>
        <v>0</v>
      </c>
    </row>
    <row r="75" spans="1:9" ht="18.45" x14ac:dyDescent="0.45">
      <c r="A75" s="34" t="s">
        <v>64</v>
      </c>
      <c r="B75" s="35">
        <f>SUM(Food191212238[Projected 
cost])</f>
        <v>0</v>
      </c>
      <c r="C75" s="35">
        <f>SUM(Food191212238[Actual 
cost])</f>
        <v>0</v>
      </c>
      <c r="D75" s="36">
        <f>SUBTOTAL(109,Food191212238[Difference])</f>
        <v>0</v>
      </c>
      <c r="E75" s="28"/>
      <c r="F75" s="34" t="s">
        <v>64</v>
      </c>
      <c r="G75" s="35">
        <f>SUM(Savings189211237[Projected 
cost])</f>
        <v>0</v>
      </c>
      <c r="H75" s="35">
        <f>SUM(Savings189211237[Actual 
cost])</f>
        <v>0</v>
      </c>
      <c r="I75" s="36">
        <f>SUBTOTAL(109,Savings189211237[Difference])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Pets195214240[[#This Row],[Projected 
cost]]-Pets195214240[[#This Row],[Actual 
cost]]</f>
        <v>0</v>
      </c>
      <c r="E79" s="28"/>
      <c r="F79" s="32" t="s">
        <v>87</v>
      </c>
      <c r="G79" s="33">
        <v>0</v>
      </c>
      <c r="H79" s="33">
        <v>0</v>
      </c>
      <c r="I79" s="33">
        <f>Gifts193213239[[#This Row],[Projected 
cost]]-Gifts193213239[[#This Row],[Actual 
cost]]</f>
        <v>0</v>
      </c>
    </row>
    <row r="80" spans="1:9" ht="15.9" x14ac:dyDescent="0.45">
      <c r="A80" s="32" t="s">
        <v>88</v>
      </c>
      <c r="B80" s="33">
        <v>0</v>
      </c>
      <c r="C80" s="33">
        <v>0</v>
      </c>
      <c r="D80" s="33">
        <f>Pets195214240[[#This Row],[Projected 
cost]]-Pets195214240[[#This Row],[Actual 
cost]]</f>
        <v>0</v>
      </c>
      <c r="E80" s="28"/>
      <c r="F80" s="32" t="s">
        <v>89</v>
      </c>
      <c r="G80" s="33">
        <v>0</v>
      </c>
      <c r="H80" s="33">
        <v>0</v>
      </c>
      <c r="I80" s="33">
        <f>Gifts193213239[[#This Row],[Projected 
cost]]-Gifts193213239[[#This Row],[Actual 
cost]]</f>
        <v>0</v>
      </c>
    </row>
    <row r="81" spans="1:10" ht="15.9" x14ac:dyDescent="0.45">
      <c r="A81" s="32" t="s">
        <v>90</v>
      </c>
      <c r="B81" s="33">
        <v>0</v>
      </c>
      <c r="C81" s="33">
        <v>0</v>
      </c>
      <c r="D81" s="33">
        <f>Pets195214240[[#This Row],[Projected 
cost]]-Pets195214240[[#This Row],[Actual 
cost]]</f>
        <v>0</v>
      </c>
      <c r="E81" s="28"/>
      <c r="F81" s="32" t="s">
        <v>91</v>
      </c>
      <c r="G81" s="33">
        <v>0</v>
      </c>
      <c r="H81" s="33">
        <v>0</v>
      </c>
      <c r="I81" s="33">
        <f>Gifts193213239[[#This Row],[Projected 
cost]]-Gifts193213239[[#This Row],[Actual 
cost]]</f>
        <v>0</v>
      </c>
    </row>
    <row r="82" spans="1:10" ht="18.45" x14ac:dyDescent="0.45">
      <c r="A82" s="32" t="s">
        <v>92</v>
      </c>
      <c r="B82" s="33">
        <v>0</v>
      </c>
      <c r="C82" s="33">
        <v>0</v>
      </c>
      <c r="D82" s="33">
        <f>Pets195214240[[#This Row],[Projected 
cost]]-Pets195214240[[#This Row],[Actual 
cost]]</f>
        <v>0</v>
      </c>
      <c r="E82" s="28"/>
      <c r="F82" s="34" t="s">
        <v>64</v>
      </c>
      <c r="G82" s="35">
        <f>SUM(Gifts193213239[Projected 
cost])</f>
        <v>0</v>
      </c>
      <c r="H82" s="35">
        <f>SUM(Gifts193213239[Actual 
cost])</f>
        <v>0</v>
      </c>
      <c r="I82" s="36">
        <f>SUBTOTAL(109,Gifts193213239[Difference])</f>
        <v>0</v>
      </c>
    </row>
    <row r="83" spans="1:10" ht="18.45" x14ac:dyDescent="0.45">
      <c r="A83" s="32" t="s">
        <v>61</v>
      </c>
      <c r="B83" s="33">
        <v>0</v>
      </c>
      <c r="C83" s="33">
        <v>0</v>
      </c>
      <c r="D83" s="33">
        <f>Pets195214240[[#This Row],[Projected 
cost]]-Pets195214240[[#This Row],[Actual 
cost]]</f>
        <v>0</v>
      </c>
      <c r="E83" s="28"/>
      <c r="F83" s="39"/>
      <c r="G83" s="46"/>
      <c r="H83" s="46"/>
      <c r="I83" s="33"/>
    </row>
    <row r="84" spans="1:10" ht="18.45" x14ac:dyDescent="0.45">
      <c r="A84" s="34" t="s">
        <v>64</v>
      </c>
      <c r="B84" s="51">
        <f>SUM(Pets195214240[Projected 
cost])</f>
        <v>0</v>
      </c>
      <c r="C84" s="51">
        <f>SUM(Pets195214240[Actual 
cost])</f>
        <v>0</v>
      </c>
      <c r="D84" s="51">
        <f>SUBTOTAL(109,Pets195214240[Difference])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PersonalCare197215241[[#This Row],[Projected 
cost]]-PersonalCare197215241[[#This Row],[Actual 
cost]]</f>
        <v>0</v>
      </c>
      <c r="E88" s="28"/>
      <c r="F88" s="32" t="s">
        <v>87</v>
      </c>
      <c r="G88" s="33">
        <v>0</v>
      </c>
      <c r="H88" s="33">
        <v>0</v>
      </c>
      <c r="I88" s="33">
        <f>Legal198216242[[#This Row],[Projected 
cost]]-Legal198216242[[#This Row],[Actual 
cost]]</f>
        <v>0</v>
      </c>
    </row>
    <row r="89" spans="1:10" ht="15.9" x14ac:dyDescent="0.45">
      <c r="A89" s="32" t="s">
        <v>94</v>
      </c>
      <c r="B89" s="33">
        <v>0</v>
      </c>
      <c r="C89" s="33">
        <v>0</v>
      </c>
      <c r="D89" s="33">
        <f>PersonalCare197215241[[#This Row],[Projected 
cost]]-PersonalCare197215241[[#This Row],[Actual 
cost]]</f>
        <v>0</v>
      </c>
      <c r="E89" s="28"/>
      <c r="F89" s="32" t="s">
        <v>89</v>
      </c>
      <c r="G89" s="33">
        <v>0</v>
      </c>
      <c r="H89" s="33">
        <v>0</v>
      </c>
      <c r="I89" s="33">
        <f>Legal198216242[[#This Row],[Projected 
cost]]-Legal198216242[[#This Row],[Actual 
cost]]</f>
        <v>0</v>
      </c>
    </row>
    <row r="90" spans="1:10" ht="15.9" x14ac:dyDescent="0.45">
      <c r="A90" s="32" t="s">
        <v>95</v>
      </c>
      <c r="B90" s="33">
        <v>0</v>
      </c>
      <c r="C90" s="33">
        <v>0</v>
      </c>
      <c r="D90" s="33">
        <f>PersonalCare197215241[[#This Row],[Projected 
cost]]-PersonalCare197215241[[#This Row],[Actual 
cost]]</f>
        <v>0</v>
      </c>
      <c r="E90" s="28"/>
      <c r="F90" s="32" t="s">
        <v>91</v>
      </c>
      <c r="G90" s="33">
        <v>0</v>
      </c>
      <c r="H90" s="33">
        <v>0</v>
      </c>
      <c r="I90" s="33">
        <f>Legal198216242[[#This Row],[Projected 
cost]]-Legal198216242[[#This Row],[Actual 
cost]]</f>
        <v>0</v>
      </c>
    </row>
    <row r="91" spans="1:10" ht="15.9" x14ac:dyDescent="0.45">
      <c r="A91" s="32" t="s">
        <v>96</v>
      </c>
      <c r="B91" s="33">
        <v>0</v>
      </c>
      <c r="C91" s="33">
        <v>0</v>
      </c>
      <c r="D91" s="33">
        <f>PersonalCare197215241[[#This Row],[Projected 
cost]]-PersonalCare197215241[[#This Row],[Actual 
cost]]</f>
        <v>0</v>
      </c>
      <c r="E91" s="28"/>
      <c r="F91" s="32" t="s">
        <v>97</v>
      </c>
      <c r="G91" s="33">
        <v>0</v>
      </c>
      <c r="H91" s="33">
        <v>0</v>
      </c>
      <c r="I91" s="33">
        <f>Legal198216242[[#This Row],[Projected 
cost]]-Legal198216242[[#This Row],[Actual 
cost]]</f>
        <v>0</v>
      </c>
    </row>
    <row r="92" spans="1:10" ht="18.45" x14ac:dyDescent="0.45">
      <c r="A92" s="32" t="s">
        <v>98</v>
      </c>
      <c r="B92" s="33">
        <v>0</v>
      </c>
      <c r="C92" s="33">
        <v>0</v>
      </c>
      <c r="D92" s="33">
        <f>PersonalCare197215241[[#This Row],[Projected 
cost]]-PersonalCare197215241[[#This Row],[Actual 
cost]]</f>
        <v>0</v>
      </c>
      <c r="E92" s="28"/>
      <c r="F92" s="34" t="s">
        <v>64</v>
      </c>
      <c r="G92" s="35">
        <f>SUM(Legal198216242[Projected 
cost])</f>
        <v>0</v>
      </c>
      <c r="H92" s="35">
        <f>SUM(Legal198216242[Actual 
cost])</f>
        <v>0</v>
      </c>
      <c r="I92" s="36">
        <f>SUBTOTAL(109,Legal198216242[Difference])</f>
        <v>0</v>
      </c>
    </row>
    <row r="93" spans="1:10" ht="15.9" x14ac:dyDescent="0.45">
      <c r="A93" s="32" t="s">
        <v>99</v>
      </c>
      <c r="B93" s="33">
        <v>0</v>
      </c>
      <c r="C93" s="33">
        <v>0</v>
      </c>
      <c r="D93" s="33">
        <f>PersonalCare197215241[[#This Row],[Projected 
cost]]-PersonalCare197215241[[#This Row],[Actual 
cost]]</f>
        <v>0</v>
      </c>
      <c r="E93" s="28"/>
      <c r="F93" s="38"/>
      <c r="G93" s="38"/>
      <c r="H93" s="38"/>
      <c r="I93" s="38"/>
    </row>
    <row r="94" spans="1:10" ht="15.9" customHeight="1" x14ac:dyDescent="0.45">
      <c r="A94" s="32" t="s">
        <v>61</v>
      </c>
      <c r="B94" s="33">
        <v>0</v>
      </c>
      <c r="C94" s="33">
        <v>0</v>
      </c>
      <c r="D94" s="33">
        <f>PersonalCare197215241[[#This Row],[Projected 
cost]]-PersonalCare197215241[[#This Row],[Actual 
cost]]</f>
        <v>0</v>
      </c>
      <c r="E94" s="28"/>
      <c r="F94" s="67" t="s">
        <v>121</v>
      </c>
      <c r="G94" s="67"/>
      <c r="H94" s="67"/>
      <c r="I94" s="68">
        <f>J59</f>
        <v>0</v>
      </c>
      <c r="J94" s="69" t="s">
        <v>123</v>
      </c>
    </row>
    <row r="95" spans="1:10" ht="18.45" x14ac:dyDescent="0.45">
      <c r="A95" s="34" t="s">
        <v>64</v>
      </c>
      <c r="B95" s="35">
        <f>SUM(PersonalCare197215241[Projected 
cost])</f>
        <v>0</v>
      </c>
      <c r="C95" s="35">
        <f>SUM(PersonalCare197215241[Actual 
cost])</f>
        <v>0</v>
      </c>
      <c r="D95" s="36">
        <f>SUBTOTAL(109,PersonalCare197215241[Difference])</f>
        <v>0</v>
      </c>
      <c r="E95" s="28"/>
      <c r="F95" s="67"/>
      <c r="G95" s="67"/>
      <c r="H95" s="67"/>
      <c r="I95" s="68"/>
      <c r="J95" s="69"/>
    </row>
    <row r="96" spans="1:10" ht="15.9" x14ac:dyDescent="0.45">
      <c r="A96" s="54"/>
      <c r="B96" s="54"/>
      <c r="C96" s="54"/>
      <c r="D96" s="54"/>
      <c r="E96" s="28"/>
      <c r="F96" s="76" t="s">
        <v>100</v>
      </c>
      <c r="G96" s="76"/>
      <c r="H96" s="76"/>
      <c r="I96" s="78">
        <f>SUBTOTAL(109,Housing179205231[Projected
cost],Transportation183208234[Projected 
cost],Insurance185209235[Projected
cost],Food191212238[Projected 
cost],Pets195214240[Projected 
cost],PersonalCare197215241[Projected 
cost],Entertainment180206232[Projected 
cost],Loans182207233[Projected 
cost],Taxes187210236[Projected 
cost],Savings189211237[Projected 
cost],Gifts193213239[Projected 
cost],Legal198216242[Projected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SUBTOTAL(109,Housing179205231[Actual 
cost],Transportation183208234[Actual 
cost],Insurance185209235[Actual 
cost],Food191212238[Actual 
cost],Pets195214240[Actual 
cost],PersonalCare197215241[Actual 
cost],Entertainment180206232[Actual 
cost],Loans182207233[Actual 
cost],Taxes187210236[Actual 
cost],Savings189211237[Actual 
cost],Gifts193213239[Actual 
cost],Legal198216242[Actual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42F153-333D-4343-822E-6C164D5C6585}">
  <sheetPr>
    <tabColor rgb="FFFF0000"/>
  </sheetPr>
  <dimension ref="B1:T65"/>
  <sheetViews>
    <sheetView zoomScale="62" workbookViewId="0">
      <selection activeCell="F46" sqref="F4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'February Budget'!J55</f>
        <v>0</v>
      </c>
      <c r="D4" s="42">
        <f>'February Budget'!H55</f>
        <v>0</v>
      </c>
      <c r="E4" s="59">
        <v>0</v>
      </c>
      <c r="F4" s="3" t="s">
        <v>107</v>
      </c>
      <c r="G4" s="60" t="s">
        <v>109</v>
      </c>
      <c r="H4" s="7"/>
      <c r="I4" s="7"/>
      <c r="J4" s="7"/>
      <c r="K4" s="7"/>
      <c r="L4" s="7"/>
      <c r="M4" s="7"/>
      <c r="N4" s="7"/>
      <c r="O4" s="7"/>
      <c r="P4" s="2"/>
      <c r="Q4" s="2"/>
      <c r="R4" s="2"/>
      <c r="S4" s="2"/>
      <c r="T4" s="2"/>
    </row>
    <row r="5" spans="2:20" ht="14.6" x14ac:dyDescent="0.4">
      <c r="B5" s="10"/>
      <c r="C5" s="57">
        <f>'February Budget'!J56</f>
        <v>0</v>
      </c>
      <c r="D5" s="42">
        <f>'February Budget'!H56</f>
        <v>0</v>
      </c>
      <c r="E5" s="59"/>
      <c r="F5" s="3" t="s">
        <v>108</v>
      </c>
    </row>
    <row r="6" spans="2:20" ht="14.6" x14ac:dyDescent="0.4">
      <c r="B6" s="10"/>
      <c r="C6" s="57">
        <f>'February Budget'!J57</f>
        <v>0</v>
      </c>
      <c r="D6" s="42">
        <f>'February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'February Budget'!J54</f>
        <v>0</v>
      </c>
      <c r="E45" s="9">
        <v>0</v>
      </c>
      <c r="F45" s="10">
        <f>'February Budget'!J54</f>
        <v>0</v>
      </c>
      <c r="G45" s="3" t="s">
        <v>112</v>
      </c>
    </row>
    <row r="46" spans="2:7" ht="15" customHeight="1" x14ac:dyDescent="0.4">
      <c r="C46" t="s">
        <v>67</v>
      </c>
      <c r="D46" s="10">
        <f>'February Budget'!J53</f>
        <v>0</v>
      </c>
      <c r="F46" s="10">
        <f>'February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5E0E5E08-8ED1-4743-B146-A6F9E3801AD4}"/>
    <hyperlink ref="F4" r:id="rId2" xr:uid="{DD71241D-6E36-4552-A34E-AEF72DA102FB}"/>
    <hyperlink ref="F5" r:id="rId3" xr:uid="{0FE2FF62-FFB5-42A4-B1C5-F54707274B0D}"/>
  </hyperlinks>
  <pageMargins left="0.7" right="0.7" top="0.75" bottom="0.75" header="0.3" footer="0.3"/>
  <ignoredErrors>
    <ignoredError sqref="C5" calculatedColumn="1"/>
  </ignoredErrors>
  <drawing r:id="rId4"/>
  <tableParts count="4">
    <tablePart r:id="rId5"/>
    <tablePart r:id="rId6"/>
    <tablePart r:id="rId7"/>
    <tablePart r:id="rId8"/>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7B2F7C-3D18-47DC-92CB-027FFEB97A6B}">
  <sheetPr>
    <tabColor theme="4"/>
  </sheetPr>
  <dimension ref="A1:O150"/>
  <sheetViews>
    <sheetView topLeftCell="A56" zoomScale="59" workbookViewId="0">
      <selection activeCell="D101" sqref="D101"/>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Entertainment180206232258[[#This Row],[Projected 
cost]]-Entertainment180206232258[[#This Row],[Actual 
cost]]</f>
        <v>0</v>
      </c>
    </row>
    <row r="40" spans="1:9" ht="15.9" x14ac:dyDescent="0.45">
      <c r="A40" s="31" t="s">
        <v>50</v>
      </c>
      <c r="B40" s="4">
        <v>0</v>
      </c>
      <c r="C40" s="4">
        <v>0</v>
      </c>
      <c r="D40" s="4"/>
      <c r="E40" s="28"/>
      <c r="F40" s="32" t="s">
        <v>51</v>
      </c>
      <c r="G40" s="33">
        <v>0</v>
      </c>
      <c r="H40" s="33">
        <v>0</v>
      </c>
      <c r="I40" s="33">
        <f>Entertainment180206232258[[#This Row],[Projected 
cost]]-Entertainment180206232258[[#This Row],[Actual 
cost]]</f>
        <v>0</v>
      </c>
    </row>
    <row r="41" spans="1:9" ht="15.9" x14ac:dyDescent="0.45">
      <c r="A41" s="31" t="s">
        <v>52</v>
      </c>
      <c r="B41" s="4">
        <v>0</v>
      </c>
      <c r="C41" s="4">
        <v>0</v>
      </c>
      <c r="D41" s="4"/>
      <c r="E41" s="28"/>
      <c r="F41" s="32" t="s">
        <v>53</v>
      </c>
      <c r="G41" s="33">
        <v>0</v>
      </c>
      <c r="H41" s="33">
        <v>0</v>
      </c>
      <c r="I41" s="33">
        <f>Entertainment180206232258[[#This Row],[Projected 
cost]]-Entertainment180206232258[[#This Row],[Actual 
cost]]</f>
        <v>0</v>
      </c>
    </row>
    <row r="42" spans="1:9" ht="15.9" x14ac:dyDescent="0.45">
      <c r="A42" s="31" t="s">
        <v>54</v>
      </c>
      <c r="B42" s="4">
        <v>0</v>
      </c>
      <c r="C42" s="4">
        <v>0</v>
      </c>
      <c r="D42" s="4"/>
      <c r="E42" s="28"/>
      <c r="F42" s="32" t="s">
        <v>55</v>
      </c>
      <c r="G42" s="33">
        <v>0</v>
      </c>
      <c r="H42" s="33">
        <v>0</v>
      </c>
      <c r="I42" s="33">
        <f>Entertainment180206232258[[#This Row],[Projected 
cost]]-Entertainment180206232258[[#This Row],[Actual 
cost]]</f>
        <v>0</v>
      </c>
    </row>
    <row r="43" spans="1:9" ht="15.9" x14ac:dyDescent="0.45">
      <c r="A43" s="31" t="s">
        <v>56</v>
      </c>
      <c r="B43" s="4">
        <v>0</v>
      </c>
      <c r="C43" s="4">
        <v>0</v>
      </c>
      <c r="D43" s="4"/>
      <c r="E43" s="28"/>
      <c r="F43" s="32" t="s">
        <v>57</v>
      </c>
      <c r="G43" s="33">
        <v>0</v>
      </c>
      <c r="H43" s="33">
        <v>0</v>
      </c>
      <c r="I43" s="33">
        <f>Entertainment180206232258[[#This Row],[Projected 
cost]]-Entertainment180206232258[[#This Row],[Actual 
cost]]</f>
        <v>0</v>
      </c>
    </row>
    <row r="44" spans="1:9" ht="15.9" x14ac:dyDescent="0.45">
      <c r="A44" s="31" t="s">
        <v>58</v>
      </c>
      <c r="B44" s="4">
        <v>0</v>
      </c>
      <c r="C44" s="4">
        <v>0</v>
      </c>
      <c r="D44" s="4"/>
      <c r="E44" s="28"/>
      <c r="F44" s="32" t="s">
        <v>59</v>
      </c>
      <c r="G44" s="33">
        <v>0</v>
      </c>
      <c r="H44" s="33">
        <v>0</v>
      </c>
      <c r="I44" s="33">
        <f>Entertainment180206232258[[#This Row],[Projected 
cost]]-Entertainment180206232258[[#This Row],[Actual 
cost]]</f>
        <v>0</v>
      </c>
    </row>
    <row r="45" spans="1:9" ht="15.9" x14ac:dyDescent="0.45">
      <c r="A45" s="31" t="s">
        <v>60</v>
      </c>
      <c r="B45" s="4">
        <v>0</v>
      </c>
      <c r="C45" s="4">
        <v>0</v>
      </c>
      <c r="D45" s="4"/>
      <c r="E45" s="28"/>
      <c r="F45" s="32" t="s">
        <v>61</v>
      </c>
      <c r="G45" s="33">
        <v>0</v>
      </c>
      <c r="H45" s="33">
        <v>0</v>
      </c>
      <c r="I45" s="33">
        <f>Entertainment180206232258[[#This Row],[Projected 
cost]]-Entertainment180206232258[[#This Row],[Actual 
cost]]</f>
        <v>0</v>
      </c>
    </row>
    <row r="46" spans="1:9" ht="15.9" x14ac:dyDescent="0.45">
      <c r="A46" s="31" t="s">
        <v>62</v>
      </c>
      <c r="B46" s="4">
        <v>0</v>
      </c>
      <c r="C46" s="4">
        <v>0</v>
      </c>
      <c r="D46" s="4"/>
      <c r="E46" s="28"/>
      <c r="F46" s="32" t="s">
        <v>61</v>
      </c>
      <c r="G46" s="33">
        <v>0</v>
      </c>
      <c r="H46" s="33">
        <v>0</v>
      </c>
      <c r="I46" s="33">
        <f>Entertainment180206232258[[#This Row],[Projected 
cost]]-Entertainment180206232258[[#This Row],[Actual 
cost]]</f>
        <v>0</v>
      </c>
    </row>
    <row r="47" spans="1:9" ht="15.9" x14ac:dyDescent="0.45">
      <c r="A47" s="31" t="s">
        <v>63</v>
      </c>
      <c r="B47" s="4">
        <v>0</v>
      </c>
      <c r="C47" s="4">
        <v>0</v>
      </c>
      <c r="D47" s="4"/>
      <c r="E47" s="28"/>
      <c r="F47" s="32" t="s">
        <v>61</v>
      </c>
      <c r="G47" s="33">
        <v>0</v>
      </c>
      <c r="H47" s="33">
        <v>0</v>
      </c>
      <c r="I47" s="33">
        <f>Entertainment180206232258[[#This Row],[Projected 
cost]]-Entertainment180206232258[[#This Row],[Actual 
cost]]</f>
        <v>0</v>
      </c>
    </row>
    <row r="48" spans="1:9" ht="18.45" x14ac:dyDescent="0.45">
      <c r="A48" s="31" t="s">
        <v>61</v>
      </c>
      <c r="B48" s="4">
        <v>0</v>
      </c>
      <c r="C48" s="4">
        <v>0</v>
      </c>
      <c r="D48" s="4"/>
      <c r="E48" s="28"/>
      <c r="F48" s="34" t="s">
        <v>64</v>
      </c>
      <c r="G48" s="35">
        <f>SUM(Entertainment180206232258[Projected 
cost])</f>
        <v>0</v>
      </c>
      <c r="H48" s="35">
        <f>SUM(Entertainment180206232258[Actual 
cost])</f>
        <v>0</v>
      </c>
      <c r="I48" s="36">
        <f>SUBTOTAL(109,Entertainment180206232258[Difference])</f>
        <v>0</v>
      </c>
    </row>
    <row r="49" spans="1:10" ht="18.45" x14ac:dyDescent="0.45">
      <c r="A49" s="37" t="s">
        <v>64</v>
      </c>
      <c r="B49" s="4">
        <f>SUM(Housing179205231257[Projected
cost])</f>
        <v>0</v>
      </c>
      <c r="C49" s="4">
        <f>SUM(Housing179205231257[Actual 
cost])</f>
        <v>0</v>
      </c>
      <c r="D49" s="4">
        <f>SUBTOTAL(109,Housing179205231257[Difference])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Transportation183208234260[[#This Row],[Projected 
cost]]-Transportation183208234260[[#This Row],[Actual 
cost]]</f>
        <v>0</v>
      </c>
      <c r="E53" s="28"/>
      <c r="F53" s="32" t="s">
        <v>67</v>
      </c>
      <c r="G53" s="33">
        <v>0</v>
      </c>
      <c r="H53" s="33">
        <v>0</v>
      </c>
      <c r="I53" s="33">
        <f>Loans182207233259[[#This Row],[Projected 
cost]]-Loans182207233259[[#This Row],[Actual 
cost]]</f>
        <v>0</v>
      </c>
      <c r="J53" s="42">
        <v>0</v>
      </c>
    </row>
    <row r="54" spans="1:10" ht="15.9" x14ac:dyDescent="0.45">
      <c r="A54" s="32" t="s">
        <v>68</v>
      </c>
      <c r="B54" s="33">
        <v>0</v>
      </c>
      <c r="C54" s="33">
        <v>0</v>
      </c>
      <c r="D54" s="33">
        <f>Transportation183208234260[[#This Row],[Projected 
cost]]-Transportation183208234260[[#This Row],[Actual 
cost]]</f>
        <v>0</v>
      </c>
      <c r="E54" s="28"/>
      <c r="F54" s="32" t="s">
        <v>69</v>
      </c>
      <c r="G54" s="33">
        <v>0</v>
      </c>
      <c r="H54" s="33">
        <v>0</v>
      </c>
      <c r="I54" s="33">
        <f>Loans182207233259[[#This Row],[Projected 
cost]]-Loans182207233259[[#This Row],[Actual 
cost]]</f>
        <v>0</v>
      </c>
      <c r="J54" s="42">
        <v>0</v>
      </c>
    </row>
    <row r="55" spans="1:10" ht="15.9" x14ac:dyDescent="0.45">
      <c r="A55" s="32" t="s">
        <v>70</v>
      </c>
      <c r="B55" s="33">
        <v>0</v>
      </c>
      <c r="C55" s="33">
        <v>0</v>
      </c>
      <c r="D55" s="33">
        <f>Transportation183208234260[[#This Row],[Projected 
cost]]-Transportation183208234260[[#This Row],[Actual 
cost]]</f>
        <v>0</v>
      </c>
      <c r="E55" s="28"/>
      <c r="F55" s="32" t="s">
        <v>71</v>
      </c>
      <c r="G55" s="33">
        <v>0</v>
      </c>
      <c r="H55" s="33">
        <v>0</v>
      </c>
      <c r="I55" s="33">
        <f>Loans182207233259[[#This Row],[Projected 
cost]]-Loans182207233259[[#This Row],[Actual 
cost]]</f>
        <v>0</v>
      </c>
      <c r="J55" s="42">
        <v>0</v>
      </c>
    </row>
    <row r="56" spans="1:10" ht="15.9" x14ac:dyDescent="0.45">
      <c r="A56" s="32" t="s">
        <v>72</v>
      </c>
      <c r="B56" s="33">
        <v>0</v>
      </c>
      <c r="C56" s="33">
        <v>0</v>
      </c>
      <c r="D56" s="33">
        <f>Transportation183208234260[[#This Row],[Projected 
cost]]-Transportation183208234260[[#This Row],[Actual 
cost]]</f>
        <v>0</v>
      </c>
      <c r="E56" s="28"/>
      <c r="F56" s="32" t="s">
        <v>71</v>
      </c>
      <c r="G56" s="33">
        <v>0</v>
      </c>
      <c r="H56" s="33">
        <v>0</v>
      </c>
      <c r="I56" s="33">
        <f>Loans182207233259[[#This Row],[Projected 
cost]]-Loans182207233259[[#This Row],[Actual 
cost]]</f>
        <v>0</v>
      </c>
      <c r="J56" s="42">
        <v>0</v>
      </c>
    </row>
    <row r="57" spans="1:10" ht="15.9" x14ac:dyDescent="0.45">
      <c r="A57" s="32" t="s">
        <v>73</v>
      </c>
      <c r="B57" s="33">
        <v>0</v>
      </c>
      <c r="C57" s="33">
        <v>0</v>
      </c>
      <c r="D57" s="33">
        <f>Transportation183208234260[[#This Row],[Projected 
cost]]-Transportation183208234260[[#This Row],[Actual 
cost]]</f>
        <v>0</v>
      </c>
      <c r="E57" s="28"/>
      <c r="F57" s="32" t="s">
        <v>71</v>
      </c>
      <c r="G57" s="33">
        <v>0</v>
      </c>
      <c r="H57" s="33">
        <v>0</v>
      </c>
      <c r="I57" s="33">
        <f>Loans182207233259[[#This Row],[Projected 
cost]]-Loans182207233259[[#This Row],[Actual 
cost]]</f>
        <v>0</v>
      </c>
      <c r="J57" s="42">
        <v>0</v>
      </c>
    </row>
    <row r="58" spans="1:10" ht="15.9" x14ac:dyDescent="0.45">
      <c r="A58" s="32" t="s">
        <v>74</v>
      </c>
      <c r="B58" s="33">
        <v>0</v>
      </c>
      <c r="C58" s="33">
        <v>0</v>
      </c>
      <c r="D58" s="33">
        <f>Transportation183208234260[[#This Row],[Projected 
cost]]-Transportation183208234260[[#This Row],[Actual 
cost]]</f>
        <v>0</v>
      </c>
      <c r="E58" s="28"/>
      <c r="F58" s="32" t="s">
        <v>61</v>
      </c>
      <c r="G58" s="33">
        <v>0</v>
      </c>
      <c r="H58" s="33">
        <v>0</v>
      </c>
      <c r="I58" s="33">
        <f>Loans182207233259[[#This Row],[Projected 
cost]]-Loans182207233259[[#This Row],[Actual 
cost]]</f>
        <v>0</v>
      </c>
      <c r="J58" s="42">
        <v>0</v>
      </c>
    </row>
    <row r="59" spans="1:10" ht="18.45" x14ac:dyDescent="0.45">
      <c r="A59" s="32" t="s">
        <v>61</v>
      </c>
      <c r="B59" s="33">
        <v>0</v>
      </c>
      <c r="C59" s="33">
        <v>0</v>
      </c>
      <c r="D59" s="33">
        <f>Transportation183208234260[[#This Row],[Projected 
cost]]-Transportation183208234260[[#This Row],[Actual 
cost]]</f>
        <v>0</v>
      </c>
      <c r="E59" s="28"/>
      <c r="F59" s="34" t="s">
        <v>64</v>
      </c>
      <c r="G59" s="35">
        <f>SUM(Loans182207233259[Projected 
cost])</f>
        <v>0</v>
      </c>
      <c r="H59" s="35">
        <f>SUM(Loans182207233259[Actual 
cost])</f>
        <v>0</v>
      </c>
      <c r="I59" s="36">
        <f>SUBTOTAL(109,Loans182207233259[Difference])</f>
        <v>0</v>
      </c>
      <c r="J59" s="43">
        <f>SUM(J53:J58)</f>
        <v>0</v>
      </c>
    </row>
    <row r="60" spans="1:10" ht="18.45" x14ac:dyDescent="0.45">
      <c r="A60" s="34" t="s">
        <v>64</v>
      </c>
      <c r="B60" s="35">
        <f>SUM(Transportation183208234260[Projected 
cost])</f>
        <v>0</v>
      </c>
      <c r="C60" s="35">
        <f>SUM(Transportation183208234260[Actual 
cost])</f>
        <v>0</v>
      </c>
      <c r="D60" s="36">
        <f>SUBTOTAL(109,Transportation183208234260[Difference])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Insurance185209235261[[#This Row],[Projected
cost]]-Insurance185209235261[[#This Row],[Actual 
cost]]</f>
        <v>0</v>
      </c>
      <c r="E64" s="28"/>
      <c r="F64" s="32" t="s">
        <v>76</v>
      </c>
      <c r="G64" s="33">
        <v>0</v>
      </c>
      <c r="H64" s="33">
        <v>0</v>
      </c>
      <c r="I64" s="33">
        <f>Taxes187210236262[[#This Row],[Projected 
cost]]-Taxes187210236262[[#This Row],[Actual 
cost]]</f>
        <v>0</v>
      </c>
    </row>
    <row r="65" spans="1:9" ht="15.9" x14ac:dyDescent="0.45">
      <c r="A65" s="32" t="s">
        <v>77</v>
      </c>
      <c r="B65" s="33">
        <v>0</v>
      </c>
      <c r="C65" s="33">
        <v>0</v>
      </c>
      <c r="D65" s="33">
        <f>Insurance185209235261[[#This Row],[Projected
cost]]-Insurance185209235261[[#This Row],[Actual 
cost]]</f>
        <v>0</v>
      </c>
      <c r="E65" s="28"/>
      <c r="F65" s="32" t="s">
        <v>78</v>
      </c>
      <c r="G65" s="33">
        <v>0</v>
      </c>
      <c r="H65" s="33">
        <v>0</v>
      </c>
      <c r="I65" s="33">
        <f>Taxes187210236262[[#This Row],[Projected 
cost]]-Taxes187210236262[[#This Row],[Actual 
cost]]</f>
        <v>0</v>
      </c>
    </row>
    <row r="66" spans="1:9" ht="15.9" x14ac:dyDescent="0.45">
      <c r="A66" s="32" t="s">
        <v>79</v>
      </c>
      <c r="B66" s="33">
        <v>0</v>
      </c>
      <c r="C66" s="33">
        <v>0</v>
      </c>
      <c r="D66" s="33">
        <f>Insurance185209235261[[#This Row],[Projected
cost]]-Insurance185209235261[[#This Row],[Actual 
cost]]</f>
        <v>0</v>
      </c>
      <c r="E66" s="28"/>
      <c r="F66" s="32" t="s">
        <v>80</v>
      </c>
      <c r="G66" s="33">
        <v>0</v>
      </c>
      <c r="H66" s="33">
        <v>0</v>
      </c>
      <c r="I66" s="33">
        <f>Taxes187210236262[[#This Row],[Projected 
cost]]-Taxes187210236262[[#This Row],[Actual 
cost]]</f>
        <v>0</v>
      </c>
    </row>
    <row r="67" spans="1:9" ht="15.9" x14ac:dyDescent="0.45">
      <c r="A67" s="32" t="s">
        <v>61</v>
      </c>
      <c r="B67" s="33">
        <v>0</v>
      </c>
      <c r="C67" s="33">
        <v>0</v>
      </c>
      <c r="D67" s="33">
        <f>Insurance185209235261[[#This Row],[Projected
cost]]-Insurance185209235261[[#This Row],[Actual 
cost]]</f>
        <v>0</v>
      </c>
      <c r="E67" s="28"/>
      <c r="F67" s="32" t="s">
        <v>61</v>
      </c>
      <c r="G67" s="33">
        <v>0</v>
      </c>
      <c r="H67" s="33">
        <v>0</v>
      </c>
      <c r="I67" s="33">
        <f>Taxes187210236262[[#This Row],[Projected 
cost]]-Taxes187210236262[[#This Row],[Actual 
cost]]</f>
        <v>0</v>
      </c>
    </row>
    <row r="68" spans="1:9" ht="18.45" x14ac:dyDescent="0.45">
      <c r="A68" s="34" t="s">
        <v>64</v>
      </c>
      <c r="B68" s="35" t="s">
        <v>122</v>
      </c>
      <c r="C68" s="35">
        <f>SUM(Insurance185209235261[Actual 
cost])</f>
        <v>0</v>
      </c>
      <c r="D68" s="36">
        <f>SUBTOTAL(109,Insurance185209235261[Difference])</f>
        <v>0</v>
      </c>
      <c r="E68" s="28"/>
      <c r="F68" s="34" t="s">
        <v>64</v>
      </c>
      <c r="G68" s="35">
        <f>SUM(Taxes187210236262[Projected 
cost])</f>
        <v>0</v>
      </c>
      <c r="H68" s="35">
        <f>SUM(Taxes187210236262[Actual 
cost])</f>
        <v>0</v>
      </c>
      <c r="I68" s="36">
        <f>SUBTOTAL(109,Taxes187210236262[Difference])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Food191212238264[[#This Row],[Projected 
cost]]-Food191212238264[[#This Row],[Actual 
cost]]</f>
        <v>0</v>
      </c>
      <c r="E72" s="28"/>
      <c r="F72" s="32" t="s">
        <v>83</v>
      </c>
      <c r="G72" s="33">
        <v>0</v>
      </c>
      <c r="H72" s="33">
        <v>0</v>
      </c>
      <c r="I72" s="33">
        <f>Savings189211237263[[#This Row],[Projected 
cost]]-Savings189211237263[[#This Row],[Actual 
cost]]</f>
        <v>0</v>
      </c>
    </row>
    <row r="73" spans="1:9" ht="15.9" x14ac:dyDescent="0.45">
      <c r="A73" s="32" t="s">
        <v>84</v>
      </c>
      <c r="B73" s="33">
        <v>0</v>
      </c>
      <c r="C73" s="33">
        <v>0</v>
      </c>
      <c r="D73" s="33">
        <f>Food191212238264[[#This Row],[Projected 
cost]]-Food191212238264[[#This Row],[Actual 
cost]]</f>
        <v>0</v>
      </c>
      <c r="E73" s="28"/>
      <c r="F73" s="32" t="s">
        <v>85</v>
      </c>
      <c r="G73" s="33">
        <v>0</v>
      </c>
      <c r="H73" s="33">
        <v>0</v>
      </c>
      <c r="I73" s="33">
        <f>Savings189211237263[[#This Row],[Projected 
cost]]-Savings189211237263[[#This Row],[Actual 
cost]]</f>
        <v>0</v>
      </c>
    </row>
    <row r="74" spans="1:9" ht="15.9" x14ac:dyDescent="0.45">
      <c r="A74" s="32" t="s">
        <v>61</v>
      </c>
      <c r="B74" s="33">
        <v>0</v>
      </c>
      <c r="C74" s="33">
        <v>0</v>
      </c>
      <c r="D74" s="33">
        <f>Food191212238264[[#This Row],[Projected 
cost]]-Food191212238264[[#This Row],[Actual 
cost]]</f>
        <v>0</v>
      </c>
      <c r="E74" s="28"/>
      <c r="F74" s="32" t="s">
        <v>61</v>
      </c>
      <c r="G74" s="33">
        <v>0</v>
      </c>
      <c r="H74" s="33">
        <v>0</v>
      </c>
      <c r="I74" s="33">
        <f>Savings189211237263[[#This Row],[Projected 
cost]]-Savings189211237263[[#This Row],[Actual 
cost]]</f>
        <v>0</v>
      </c>
    </row>
    <row r="75" spans="1:9" ht="18.45" x14ac:dyDescent="0.45">
      <c r="A75" s="34" t="s">
        <v>64</v>
      </c>
      <c r="B75" s="35">
        <f>SUM(Food191212238264[Projected 
cost])</f>
        <v>0</v>
      </c>
      <c r="C75" s="35">
        <f>SUM(Food191212238264[Actual 
cost])</f>
        <v>0</v>
      </c>
      <c r="D75" s="36">
        <f>SUBTOTAL(109,Food191212238264[Difference])</f>
        <v>0</v>
      </c>
      <c r="E75" s="28"/>
      <c r="F75" s="34" t="s">
        <v>64</v>
      </c>
      <c r="G75" s="35">
        <f>SUM(Savings189211237263[Projected 
cost])</f>
        <v>0</v>
      </c>
      <c r="H75" s="35">
        <f>SUM(Savings189211237263[Actual 
cost])</f>
        <v>0</v>
      </c>
      <c r="I75" s="36">
        <f>SUBTOTAL(109,Savings189211237263[Difference])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Pets195214240266[[#This Row],[Projected 
cost]]-Pets195214240266[[#This Row],[Actual 
cost]]</f>
        <v>0</v>
      </c>
      <c r="E79" s="28"/>
      <c r="F79" s="32" t="s">
        <v>87</v>
      </c>
      <c r="G79" s="33">
        <v>0</v>
      </c>
      <c r="H79" s="33">
        <v>0</v>
      </c>
      <c r="I79" s="33">
        <f>Gifts193213239265[[#This Row],[Projected 
cost]]-Gifts193213239265[[#This Row],[Actual 
cost]]</f>
        <v>0</v>
      </c>
    </row>
    <row r="80" spans="1:9" ht="15.9" x14ac:dyDescent="0.45">
      <c r="A80" s="32" t="s">
        <v>88</v>
      </c>
      <c r="B80" s="33">
        <v>0</v>
      </c>
      <c r="C80" s="33">
        <v>0</v>
      </c>
      <c r="D80" s="33">
        <f>Pets195214240266[[#This Row],[Projected 
cost]]-Pets195214240266[[#This Row],[Actual 
cost]]</f>
        <v>0</v>
      </c>
      <c r="E80" s="28"/>
      <c r="F80" s="32" t="s">
        <v>89</v>
      </c>
      <c r="G80" s="33">
        <v>0</v>
      </c>
      <c r="H80" s="33">
        <v>0</v>
      </c>
      <c r="I80" s="33">
        <f>Gifts193213239265[[#This Row],[Projected 
cost]]-Gifts193213239265[[#This Row],[Actual 
cost]]</f>
        <v>0</v>
      </c>
    </row>
    <row r="81" spans="1:10" ht="15.9" x14ac:dyDescent="0.45">
      <c r="A81" s="32" t="s">
        <v>90</v>
      </c>
      <c r="B81" s="33">
        <v>0</v>
      </c>
      <c r="C81" s="33">
        <v>0</v>
      </c>
      <c r="D81" s="33">
        <f>Pets195214240266[[#This Row],[Projected 
cost]]-Pets195214240266[[#This Row],[Actual 
cost]]</f>
        <v>0</v>
      </c>
      <c r="E81" s="28"/>
      <c r="F81" s="32" t="s">
        <v>91</v>
      </c>
      <c r="G81" s="33">
        <v>0</v>
      </c>
      <c r="H81" s="33">
        <v>0</v>
      </c>
      <c r="I81" s="33">
        <f>Gifts193213239265[[#This Row],[Projected 
cost]]-Gifts193213239265[[#This Row],[Actual 
cost]]</f>
        <v>0</v>
      </c>
    </row>
    <row r="82" spans="1:10" ht="18.45" x14ac:dyDescent="0.45">
      <c r="A82" s="32" t="s">
        <v>92</v>
      </c>
      <c r="B82" s="33">
        <v>0</v>
      </c>
      <c r="C82" s="33">
        <v>0</v>
      </c>
      <c r="D82" s="33">
        <f>Pets195214240266[[#This Row],[Projected 
cost]]-Pets195214240266[[#This Row],[Actual 
cost]]</f>
        <v>0</v>
      </c>
      <c r="E82" s="28"/>
      <c r="F82" s="34" t="s">
        <v>64</v>
      </c>
      <c r="G82" s="35">
        <f>SUM(Gifts193213239265[Projected 
cost])</f>
        <v>0</v>
      </c>
      <c r="H82" s="35">
        <f>SUM(Gifts193213239265[Actual 
cost])</f>
        <v>0</v>
      </c>
      <c r="I82" s="36">
        <f>SUBTOTAL(109,Gifts193213239265[Difference])</f>
        <v>0</v>
      </c>
    </row>
    <row r="83" spans="1:10" ht="18.45" x14ac:dyDescent="0.45">
      <c r="A83" s="32" t="s">
        <v>61</v>
      </c>
      <c r="B83" s="33">
        <v>0</v>
      </c>
      <c r="C83" s="33">
        <v>0</v>
      </c>
      <c r="D83" s="33">
        <f>Pets195214240266[[#This Row],[Projected 
cost]]-Pets195214240266[[#This Row],[Actual 
cost]]</f>
        <v>0</v>
      </c>
      <c r="E83" s="28"/>
      <c r="F83" s="39"/>
      <c r="G83" s="46"/>
      <c r="H83" s="46"/>
      <c r="I83" s="33"/>
    </row>
    <row r="84" spans="1:10" ht="18.45" x14ac:dyDescent="0.45">
      <c r="A84" s="34" t="s">
        <v>64</v>
      </c>
      <c r="B84" s="51">
        <f>SUM(Pets195214240266[Projected 
cost])</f>
        <v>0</v>
      </c>
      <c r="C84" s="51">
        <f>SUM(Pets195214240266[Actual 
cost])</f>
        <v>0</v>
      </c>
      <c r="D84" s="51">
        <f>SUBTOTAL(109,Pets195214240266[Difference])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PersonalCare197215241267[[#This Row],[Projected 
cost]]-PersonalCare197215241267[[#This Row],[Actual 
cost]]</f>
        <v>0</v>
      </c>
      <c r="E88" s="28"/>
      <c r="F88" s="32" t="s">
        <v>87</v>
      </c>
      <c r="G88" s="33">
        <v>0</v>
      </c>
      <c r="H88" s="33">
        <v>0</v>
      </c>
      <c r="I88" s="33">
        <f>Legal198216242268[[#This Row],[Projected 
cost]]-Legal198216242268[[#This Row],[Actual 
cost]]</f>
        <v>0</v>
      </c>
    </row>
    <row r="89" spans="1:10" ht="15.9" x14ac:dyDescent="0.45">
      <c r="A89" s="32" t="s">
        <v>94</v>
      </c>
      <c r="B89" s="33">
        <v>0</v>
      </c>
      <c r="C89" s="33">
        <v>0</v>
      </c>
      <c r="D89" s="33">
        <f>PersonalCare197215241267[[#This Row],[Projected 
cost]]-PersonalCare197215241267[[#This Row],[Actual 
cost]]</f>
        <v>0</v>
      </c>
      <c r="E89" s="28"/>
      <c r="F89" s="32" t="s">
        <v>89</v>
      </c>
      <c r="G89" s="33">
        <v>0</v>
      </c>
      <c r="H89" s="33">
        <v>0</v>
      </c>
      <c r="I89" s="33">
        <f>Legal198216242268[[#This Row],[Projected 
cost]]-Legal198216242268[[#This Row],[Actual 
cost]]</f>
        <v>0</v>
      </c>
    </row>
    <row r="90" spans="1:10" ht="15.9" x14ac:dyDescent="0.45">
      <c r="A90" s="32" t="s">
        <v>95</v>
      </c>
      <c r="B90" s="33">
        <v>0</v>
      </c>
      <c r="C90" s="33">
        <v>0</v>
      </c>
      <c r="D90" s="33">
        <f>PersonalCare197215241267[[#This Row],[Projected 
cost]]-PersonalCare197215241267[[#This Row],[Actual 
cost]]</f>
        <v>0</v>
      </c>
      <c r="E90" s="28"/>
      <c r="F90" s="32" t="s">
        <v>91</v>
      </c>
      <c r="G90" s="33">
        <v>0</v>
      </c>
      <c r="H90" s="33">
        <v>0</v>
      </c>
      <c r="I90" s="33">
        <f>Legal198216242268[[#This Row],[Projected 
cost]]-Legal198216242268[[#This Row],[Actual 
cost]]</f>
        <v>0</v>
      </c>
    </row>
    <row r="91" spans="1:10" ht="15.9" x14ac:dyDescent="0.45">
      <c r="A91" s="32" t="s">
        <v>96</v>
      </c>
      <c r="B91" s="33">
        <v>0</v>
      </c>
      <c r="C91" s="33">
        <v>0</v>
      </c>
      <c r="D91" s="33">
        <f>PersonalCare197215241267[[#This Row],[Projected 
cost]]-PersonalCare197215241267[[#This Row],[Actual 
cost]]</f>
        <v>0</v>
      </c>
      <c r="E91" s="28"/>
      <c r="F91" s="32" t="s">
        <v>97</v>
      </c>
      <c r="G91" s="33">
        <v>0</v>
      </c>
      <c r="H91" s="33">
        <v>0</v>
      </c>
      <c r="I91" s="33">
        <f>Legal198216242268[[#This Row],[Projected 
cost]]-Legal198216242268[[#This Row],[Actual 
cost]]</f>
        <v>0</v>
      </c>
    </row>
    <row r="92" spans="1:10" ht="18.45" x14ac:dyDescent="0.45">
      <c r="A92" s="32" t="s">
        <v>98</v>
      </c>
      <c r="B92" s="33">
        <v>0</v>
      </c>
      <c r="C92" s="33">
        <v>0</v>
      </c>
      <c r="D92" s="33">
        <f>PersonalCare197215241267[[#This Row],[Projected 
cost]]-PersonalCare197215241267[[#This Row],[Actual 
cost]]</f>
        <v>0</v>
      </c>
      <c r="E92" s="28"/>
      <c r="F92" s="34" t="s">
        <v>64</v>
      </c>
      <c r="G92" s="35">
        <f>SUM(Legal198216242268[Projected 
cost])</f>
        <v>0</v>
      </c>
      <c r="H92" s="35">
        <f>SUM(Legal198216242268[Actual 
cost])</f>
        <v>0</v>
      </c>
      <c r="I92" s="36">
        <f>SUBTOTAL(109,Legal198216242268[Difference])</f>
        <v>0</v>
      </c>
    </row>
    <row r="93" spans="1:10" ht="15.9" x14ac:dyDescent="0.45">
      <c r="A93" s="32" t="s">
        <v>99</v>
      </c>
      <c r="B93" s="33">
        <v>0</v>
      </c>
      <c r="C93" s="33">
        <v>0</v>
      </c>
      <c r="D93" s="33">
        <f>PersonalCare197215241267[[#This Row],[Projected 
cost]]-PersonalCare197215241267[[#This Row],[Actual 
cost]]</f>
        <v>0</v>
      </c>
      <c r="E93" s="28"/>
      <c r="F93" s="38"/>
      <c r="G93" s="38"/>
      <c r="H93" s="38"/>
      <c r="I93" s="38"/>
    </row>
    <row r="94" spans="1:10" ht="15.9" customHeight="1" x14ac:dyDescent="0.45">
      <c r="A94" s="32" t="s">
        <v>61</v>
      </c>
      <c r="B94" s="33">
        <v>0</v>
      </c>
      <c r="C94" s="33">
        <v>0</v>
      </c>
      <c r="D94" s="33">
        <f>PersonalCare197215241267[[#This Row],[Projected 
cost]]-PersonalCare197215241267[[#This Row],[Actual 
cost]]</f>
        <v>0</v>
      </c>
      <c r="E94" s="28"/>
      <c r="F94" s="67" t="s">
        <v>121</v>
      </c>
      <c r="G94" s="67"/>
      <c r="H94" s="67"/>
      <c r="I94" s="68">
        <f>J59</f>
        <v>0</v>
      </c>
      <c r="J94" s="69" t="s">
        <v>123</v>
      </c>
    </row>
    <row r="95" spans="1:10" ht="18.45" x14ac:dyDescent="0.45">
      <c r="A95" s="34" t="s">
        <v>64</v>
      </c>
      <c r="B95" s="35">
        <f>SUM(PersonalCare197215241267[Projected 
cost])</f>
        <v>0</v>
      </c>
      <c r="C95" s="35">
        <f>SUM(PersonalCare197215241267[Actual 
cost])</f>
        <v>0</v>
      </c>
      <c r="D95" s="36">
        <f>SUBTOTAL(109,PersonalCare197215241267[Difference])</f>
        <v>0</v>
      </c>
      <c r="E95" s="28"/>
      <c r="F95" s="67"/>
      <c r="G95" s="67"/>
      <c r="H95" s="67"/>
      <c r="I95" s="68"/>
      <c r="J95" s="69"/>
    </row>
    <row r="96" spans="1:10" ht="15.9" x14ac:dyDescent="0.45">
      <c r="A96" s="54"/>
      <c r="B96" s="54"/>
      <c r="C96" s="54"/>
      <c r="D96" s="54"/>
      <c r="E96" s="28"/>
      <c r="F96" s="76" t="s">
        <v>100</v>
      </c>
      <c r="G96" s="76"/>
      <c r="H96" s="76"/>
      <c r="I96" s="78">
        <f>SUBTOTAL(109,Housing179205231257[Projected
cost],Transportation183208234260[Projected 
cost],Insurance185209235261[Projected
cost],Food191212238264[Projected 
cost],Pets195214240266[Projected 
cost],PersonalCare197215241267[Projected 
cost],Entertainment180206232258[Projected 
cost],Loans182207233259[Projected 
cost],Taxes187210236262[Projected 
cost],Savings189211237263[Projected 
cost],Gifts193213239265[Projected 
cost],Legal198216242268[Projected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SUBTOTAL(109,Housing179205231257[Actual 
cost],Transportation183208234260[Actual 
cost],Insurance185209235261[Actual 
cost],Food191212238264[Actual 
cost],Pets195214240266[Actual 
cost],PersonalCare197215241267[Actual 
cost],Entertainment180206232258[Actual 
cost],Loans182207233259[Actual 
cost],Taxes187210236262[Actual 
cost],Savings189211237263[Actual 
cost],Gifts193213239265[Actual 
cost],Legal198216242268[Actual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865961-5AE7-47C2-9693-E04BFA79CE28}">
  <sheetPr>
    <tabColor theme="4"/>
  </sheetPr>
  <dimension ref="B1:T65"/>
  <sheetViews>
    <sheetView topLeftCell="A13" zoomScale="62" workbookViewId="0">
      <selection activeCell="D46" sqref="D4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'March Budget'!J55</f>
        <v>0</v>
      </c>
      <c r="D4" s="42">
        <f>'March Budget'!H55</f>
        <v>0</v>
      </c>
      <c r="E4" s="59">
        <v>0</v>
      </c>
      <c r="F4" s="3" t="s">
        <v>107</v>
      </c>
      <c r="G4" s="60" t="s">
        <v>109</v>
      </c>
      <c r="H4" s="7"/>
      <c r="I4" s="7"/>
      <c r="J4" s="7"/>
      <c r="K4" s="7"/>
      <c r="L4" s="7"/>
      <c r="M4" s="7"/>
      <c r="N4" s="7"/>
      <c r="O4" s="7"/>
      <c r="P4" s="2"/>
      <c r="Q4" s="2"/>
      <c r="R4" s="2"/>
      <c r="S4" s="2"/>
      <c r="T4" s="2"/>
    </row>
    <row r="5" spans="2:20" ht="14.6" x14ac:dyDescent="0.4">
      <c r="B5" s="10"/>
      <c r="C5" s="57">
        <f>'March Budget'!J56</f>
        <v>0</v>
      </c>
      <c r="D5" s="42">
        <f>'March Budget'!H56</f>
        <v>0</v>
      </c>
      <c r="E5" s="59"/>
      <c r="F5" s="3" t="s">
        <v>108</v>
      </c>
    </row>
    <row r="6" spans="2:20" ht="14.6" x14ac:dyDescent="0.4">
      <c r="B6" s="10"/>
      <c r="C6" s="57">
        <f>'March Budget'!J57</f>
        <v>0</v>
      </c>
      <c r="D6" s="42">
        <f>'March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'March Budget'!J54</f>
        <v>0</v>
      </c>
      <c r="E45" s="9">
        <v>0</v>
      </c>
      <c r="F45" s="10">
        <f>'March Budget'!H54</f>
        <v>0</v>
      </c>
      <c r="G45" s="3" t="s">
        <v>112</v>
      </c>
    </row>
    <row r="46" spans="2:7" ht="15" customHeight="1" x14ac:dyDescent="0.4">
      <c r="C46" t="s">
        <v>67</v>
      </c>
      <c r="D46" s="10">
        <f>'March Budget'!J53</f>
        <v>0</v>
      </c>
      <c r="F46" s="10">
        <f>'March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1F069B4F-9169-4F31-B56D-B4D7C1E6FA5D}"/>
    <hyperlink ref="F4" r:id="rId2" xr:uid="{293B423F-2EAB-408E-AEEE-524122E99FBF}"/>
    <hyperlink ref="F5" r:id="rId3" xr:uid="{DA7F8C7D-2003-4FB8-B69D-AEDF8EDB8517}"/>
  </hyperlinks>
  <pageMargins left="0.7" right="0.7" top="0.75" bottom="0.75" header="0.3" footer="0.3"/>
  <drawing r:id="rId4"/>
  <tableParts count="4">
    <tablePart r:id="rId5"/>
    <tablePart r:id="rId6"/>
    <tablePart r:id="rId7"/>
    <tablePart r:id="rId8"/>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032CD9-60C1-42C1-A138-181BE69CAA30}">
  <sheetPr>
    <tabColor rgb="FFFF99CC"/>
  </sheetPr>
  <dimension ref="A1:O150"/>
  <sheetViews>
    <sheetView topLeftCell="A64" zoomScale="59" workbookViewId="0">
      <selection activeCell="K86" sqref="K86"/>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Entertainment180206[[#This Row],[Projected 
cost]]-Entertainment180206[[#This Row],[Actual 
cost]]</f>
        <v>0</v>
      </c>
    </row>
    <row r="40" spans="1:9" ht="15.9" x14ac:dyDescent="0.45">
      <c r="A40" s="31" t="s">
        <v>50</v>
      </c>
      <c r="B40" s="4">
        <v>0</v>
      </c>
      <c r="C40" s="4">
        <v>0</v>
      </c>
      <c r="D40" s="4"/>
      <c r="E40" s="28"/>
      <c r="F40" s="32" t="s">
        <v>51</v>
      </c>
      <c r="G40" s="33">
        <v>0</v>
      </c>
      <c r="H40" s="33">
        <v>0</v>
      </c>
      <c r="I40" s="33">
        <f>Entertainment180206[[#This Row],[Projected 
cost]]-Entertainment180206[[#This Row],[Actual 
cost]]</f>
        <v>0</v>
      </c>
    </row>
    <row r="41" spans="1:9" ht="15.9" x14ac:dyDescent="0.45">
      <c r="A41" s="31" t="s">
        <v>52</v>
      </c>
      <c r="B41" s="4">
        <v>0</v>
      </c>
      <c r="C41" s="4">
        <v>0</v>
      </c>
      <c r="D41" s="4"/>
      <c r="E41" s="28"/>
      <c r="F41" s="32" t="s">
        <v>53</v>
      </c>
      <c r="G41" s="33">
        <v>0</v>
      </c>
      <c r="H41" s="33">
        <v>0</v>
      </c>
      <c r="I41" s="33">
        <f>Entertainment180206[[#This Row],[Projected 
cost]]-Entertainment180206[[#This Row],[Actual 
cost]]</f>
        <v>0</v>
      </c>
    </row>
    <row r="42" spans="1:9" ht="15.9" x14ac:dyDescent="0.45">
      <c r="A42" s="31" t="s">
        <v>54</v>
      </c>
      <c r="B42" s="4">
        <v>0</v>
      </c>
      <c r="C42" s="4">
        <v>0</v>
      </c>
      <c r="D42" s="4"/>
      <c r="E42" s="28"/>
      <c r="F42" s="32" t="s">
        <v>55</v>
      </c>
      <c r="G42" s="33">
        <v>0</v>
      </c>
      <c r="H42" s="33">
        <v>0</v>
      </c>
      <c r="I42" s="33">
        <f>Entertainment180206[[#This Row],[Projected 
cost]]-Entertainment180206[[#This Row],[Actual 
cost]]</f>
        <v>0</v>
      </c>
    </row>
    <row r="43" spans="1:9" ht="15.9" x14ac:dyDescent="0.45">
      <c r="A43" s="31" t="s">
        <v>56</v>
      </c>
      <c r="B43" s="4">
        <v>0</v>
      </c>
      <c r="C43" s="4">
        <v>0</v>
      </c>
      <c r="D43" s="4"/>
      <c r="E43" s="28"/>
      <c r="F43" s="32" t="s">
        <v>57</v>
      </c>
      <c r="G43" s="33">
        <v>0</v>
      </c>
      <c r="H43" s="33">
        <v>0</v>
      </c>
      <c r="I43" s="33">
        <f>Entertainment180206[[#This Row],[Projected 
cost]]-Entertainment180206[[#This Row],[Actual 
cost]]</f>
        <v>0</v>
      </c>
    </row>
    <row r="44" spans="1:9" ht="15.9" x14ac:dyDescent="0.45">
      <c r="A44" s="31" t="s">
        <v>58</v>
      </c>
      <c r="B44" s="4">
        <v>0</v>
      </c>
      <c r="C44" s="4">
        <v>0</v>
      </c>
      <c r="D44" s="4"/>
      <c r="E44" s="28"/>
      <c r="F44" s="32" t="s">
        <v>59</v>
      </c>
      <c r="G44" s="33">
        <v>0</v>
      </c>
      <c r="H44" s="33">
        <v>0</v>
      </c>
      <c r="I44" s="33">
        <f>Entertainment180206[[#This Row],[Projected 
cost]]-Entertainment180206[[#This Row],[Actual 
cost]]</f>
        <v>0</v>
      </c>
    </row>
    <row r="45" spans="1:9" ht="15.9" x14ac:dyDescent="0.45">
      <c r="A45" s="31" t="s">
        <v>60</v>
      </c>
      <c r="B45" s="4">
        <v>0</v>
      </c>
      <c r="C45" s="4">
        <v>0</v>
      </c>
      <c r="D45" s="4"/>
      <c r="E45" s="28"/>
      <c r="F45" s="32" t="s">
        <v>61</v>
      </c>
      <c r="G45" s="33">
        <v>0</v>
      </c>
      <c r="H45" s="33">
        <v>0</v>
      </c>
      <c r="I45" s="33">
        <f>Entertainment180206[[#This Row],[Projected 
cost]]-Entertainment180206[[#This Row],[Actual 
cost]]</f>
        <v>0</v>
      </c>
    </row>
    <row r="46" spans="1:9" ht="15.9" x14ac:dyDescent="0.45">
      <c r="A46" s="31" t="s">
        <v>62</v>
      </c>
      <c r="B46" s="4">
        <v>0</v>
      </c>
      <c r="C46" s="4">
        <v>0</v>
      </c>
      <c r="D46" s="4"/>
      <c r="E46" s="28"/>
      <c r="F46" s="32" t="s">
        <v>61</v>
      </c>
      <c r="G46" s="33">
        <v>0</v>
      </c>
      <c r="H46" s="33">
        <v>0</v>
      </c>
      <c r="I46" s="33">
        <f>Entertainment180206[[#This Row],[Projected 
cost]]-Entertainment180206[[#This Row],[Actual 
cost]]</f>
        <v>0</v>
      </c>
    </row>
    <row r="47" spans="1:9" ht="15.9" x14ac:dyDescent="0.45">
      <c r="A47" s="31" t="s">
        <v>63</v>
      </c>
      <c r="B47" s="4">
        <v>0</v>
      </c>
      <c r="C47" s="4">
        <v>0</v>
      </c>
      <c r="D47" s="4"/>
      <c r="E47" s="28"/>
      <c r="F47" s="32" t="s">
        <v>61</v>
      </c>
      <c r="G47" s="33">
        <v>0</v>
      </c>
      <c r="H47" s="33">
        <v>0</v>
      </c>
      <c r="I47" s="33">
        <f>Entertainment180206[[#This Row],[Projected 
cost]]-Entertainment180206[[#This Row],[Actual 
cost]]</f>
        <v>0</v>
      </c>
    </row>
    <row r="48" spans="1:9" ht="18.45" x14ac:dyDescent="0.45">
      <c r="A48" s="31" t="s">
        <v>61</v>
      </c>
      <c r="B48" s="4">
        <v>0</v>
      </c>
      <c r="C48" s="4">
        <v>0</v>
      </c>
      <c r="D48" s="4"/>
      <c r="E48" s="28"/>
      <c r="F48" s="34" t="s">
        <v>64</v>
      </c>
      <c r="G48" s="35">
        <f>SUM(Entertainment180206[Projected 
cost])</f>
        <v>0</v>
      </c>
      <c r="H48" s="35">
        <f>SUM(Entertainment180206[Actual 
cost])</f>
        <v>0</v>
      </c>
      <c r="I48" s="36">
        <f>SUBTOTAL(109,Entertainment180206[Difference])</f>
        <v>0</v>
      </c>
    </row>
    <row r="49" spans="1:10" ht="18.45" x14ac:dyDescent="0.45">
      <c r="A49" s="37" t="s">
        <v>64</v>
      </c>
      <c r="B49" s="4">
        <f>SUM(Housing179205[Projected
cost])</f>
        <v>0</v>
      </c>
      <c r="C49" s="4">
        <f>SUM(Housing179205[Actual 
cost])</f>
        <v>0</v>
      </c>
      <c r="D49" s="4">
        <f>SUBTOTAL(109,Housing179205[Difference])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Transportation183208[[#This Row],[Projected 
cost]]-Transportation183208[[#This Row],[Actual 
cost]]</f>
        <v>0</v>
      </c>
      <c r="E53" s="28"/>
      <c r="F53" s="32" t="s">
        <v>67</v>
      </c>
      <c r="G53" s="33">
        <v>0</v>
      </c>
      <c r="H53" s="33">
        <v>0</v>
      </c>
      <c r="I53" s="33">
        <f>Loans182207[[#This Row],[Projected 
cost]]-Loans182207[[#This Row],[Actual 
cost]]</f>
        <v>0</v>
      </c>
      <c r="J53" s="42">
        <v>0</v>
      </c>
    </row>
    <row r="54" spans="1:10" ht="15.9" x14ac:dyDescent="0.45">
      <c r="A54" s="32" t="s">
        <v>68</v>
      </c>
      <c r="B54" s="33">
        <v>0</v>
      </c>
      <c r="C54" s="33">
        <v>0</v>
      </c>
      <c r="D54" s="33">
        <f>Transportation183208[[#This Row],[Projected 
cost]]-Transportation183208[[#This Row],[Actual 
cost]]</f>
        <v>0</v>
      </c>
      <c r="E54" s="28"/>
      <c r="F54" s="32" t="s">
        <v>69</v>
      </c>
      <c r="G54" s="33">
        <v>0</v>
      </c>
      <c r="H54" s="33">
        <v>0</v>
      </c>
      <c r="I54" s="33">
        <f>Loans182207[[#This Row],[Projected 
cost]]-Loans182207[[#This Row],[Actual 
cost]]</f>
        <v>0</v>
      </c>
      <c r="J54" s="42">
        <v>0</v>
      </c>
    </row>
    <row r="55" spans="1:10" ht="15.9" x14ac:dyDescent="0.45">
      <c r="A55" s="32" t="s">
        <v>70</v>
      </c>
      <c r="B55" s="33">
        <v>0</v>
      </c>
      <c r="C55" s="33">
        <v>0</v>
      </c>
      <c r="D55" s="33">
        <f>Transportation183208[[#This Row],[Projected 
cost]]-Transportation183208[[#This Row],[Actual 
cost]]</f>
        <v>0</v>
      </c>
      <c r="E55" s="28"/>
      <c r="F55" s="32" t="s">
        <v>71</v>
      </c>
      <c r="G55" s="33">
        <v>0</v>
      </c>
      <c r="H55" s="33">
        <v>0</v>
      </c>
      <c r="I55" s="33">
        <f>Loans182207[[#This Row],[Projected 
cost]]-Loans182207[[#This Row],[Actual 
cost]]</f>
        <v>0</v>
      </c>
      <c r="J55" s="42">
        <v>0</v>
      </c>
    </row>
    <row r="56" spans="1:10" ht="15.9" x14ac:dyDescent="0.45">
      <c r="A56" s="32" t="s">
        <v>72</v>
      </c>
      <c r="B56" s="33">
        <v>0</v>
      </c>
      <c r="C56" s="33">
        <v>0</v>
      </c>
      <c r="D56" s="33">
        <f>Transportation183208[[#This Row],[Projected 
cost]]-Transportation183208[[#This Row],[Actual 
cost]]</f>
        <v>0</v>
      </c>
      <c r="E56" s="28"/>
      <c r="F56" s="32" t="s">
        <v>71</v>
      </c>
      <c r="G56" s="33">
        <v>0</v>
      </c>
      <c r="H56" s="33">
        <v>0</v>
      </c>
      <c r="I56" s="33">
        <f>Loans182207[[#This Row],[Projected 
cost]]-Loans182207[[#This Row],[Actual 
cost]]</f>
        <v>0</v>
      </c>
      <c r="J56" s="42">
        <v>0</v>
      </c>
    </row>
    <row r="57" spans="1:10" ht="15.9" x14ac:dyDescent="0.45">
      <c r="A57" s="32" t="s">
        <v>73</v>
      </c>
      <c r="B57" s="33">
        <v>0</v>
      </c>
      <c r="C57" s="33">
        <v>0</v>
      </c>
      <c r="D57" s="33">
        <f>Transportation183208[[#This Row],[Projected 
cost]]-Transportation183208[[#This Row],[Actual 
cost]]</f>
        <v>0</v>
      </c>
      <c r="E57" s="28"/>
      <c r="F57" s="32" t="s">
        <v>71</v>
      </c>
      <c r="G57" s="33">
        <v>0</v>
      </c>
      <c r="H57" s="33">
        <v>0</v>
      </c>
      <c r="I57" s="33">
        <f>Loans182207[[#This Row],[Projected 
cost]]-Loans182207[[#This Row],[Actual 
cost]]</f>
        <v>0</v>
      </c>
      <c r="J57" s="42">
        <v>0</v>
      </c>
    </row>
    <row r="58" spans="1:10" ht="15.9" x14ac:dyDescent="0.45">
      <c r="A58" s="32" t="s">
        <v>74</v>
      </c>
      <c r="B58" s="33">
        <v>0</v>
      </c>
      <c r="C58" s="33">
        <v>0</v>
      </c>
      <c r="D58" s="33">
        <f>Transportation183208[[#This Row],[Projected 
cost]]-Transportation183208[[#This Row],[Actual 
cost]]</f>
        <v>0</v>
      </c>
      <c r="E58" s="28"/>
      <c r="F58" s="32" t="s">
        <v>61</v>
      </c>
      <c r="G58" s="33">
        <v>0</v>
      </c>
      <c r="H58" s="33">
        <v>0</v>
      </c>
      <c r="I58" s="33">
        <f>Loans182207[[#This Row],[Projected 
cost]]-Loans182207[[#This Row],[Actual 
cost]]</f>
        <v>0</v>
      </c>
      <c r="J58" s="42">
        <v>0</v>
      </c>
    </row>
    <row r="59" spans="1:10" ht="18.45" x14ac:dyDescent="0.45">
      <c r="A59" s="32" t="s">
        <v>61</v>
      </c>
      <c r="B59" s="33">
        <v>0</v>
      </c>
      <c r="C59" s="33">
        <v>0</v>
      </c>
      <c r="D59" s="33">
        <f>Transportation183208[[#This Row],[Projected 
cost]]-Transportation183208[[#This Row],[Actual 
cost]]</f>
        <v>0</v>
      </c>
      <c r="E59" s="28"/>
      <c r="F59" s="34" t="s">
        <v>64</v>
      </c>
      <c r="G59" s="35">
        <f>SUM(Loans182207[Projected 
cost])</f>
        <v>0</v>
      </c>
      <c r="H59" s="35">
        <f>SUM(Loans182207[Actual 
cost])</f>
        <v>0</v>
      </c>
      <c r="I59" s="36">
        <f>SUBTOTAL(109,Loans182207[Difference])</f>
        <v>0</v>
      </c>
      <c r="J59" s="43">
        <f>SUM(J53:J58)</f>
        <v>0</v>
      </c>
    </row>
    <row r="60" spans="1:10" ht="18.45" x14ac:dyDescent="0.45">
      <c r="A60" s="34" t="s">
        <v>64</v>
      </c>
      <c r="B60" s="35">
        <f>SUM(Transportation183208[Projected 
cost])</f>
        <v>0</v>
      </c>
      <c r="C60" s="35">
        <f>SUM(Transportation183208[Actual 
cost])</f>
        <v>0</v>
      </c>
      <c r="D60" s="36">
        <f>SUBTOTAL(109,Transportation183208[Difference])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Insurance185209[[#This Row],[Projected
cost]]-Insurance185209[[#This Row],[Actual 
cost]]</f>
        <v>0</v>
      </c>
      <c r="E64" s="28"/>
      <c r="F64" s="32" t="s">
        <v>76</v>
      </c>
      <c r="G64" s="33">
        <v>0</v>
      </c>
      <c r="H64" s="33">
        <v>0</v>
      </c>
      <c r="I64" s="33">
        <f>Taxes187210[[#This Row],[Projected 
cost]]-Taxes187210[[#This Row],[Actual 
cost]]</f>
        <v>0</v>
      </c>
    </row>
    <row r="65" spans="1:9" ht="15.9" x14ac:dyDescent="0.45">
      <c r="A65" s="32" t="s">
        <v>77</v>
      </c>
      <c r="B65" s="33">
        <v>0</v>
      </c>
      <c r="C65" s="33">
        <v>0</v>
      </c>
      <c r="D65" s="33">
        <f>Insurance185209[[#This Row],[Projected
cost]]-Insurance185209[[#This Row],[Actual 
cost]]</f>
        <v>0</v>
      </c>
      <c r="E65" s="28"/>
      <c r="F65" s="32" t="s">
        <v>78</v>
      </c>
      <c r="G65" s="33">
        <v>0</v>
      </c>
      <c r="H65" s="33">
        <v>0</v>
      </c>
      <c r="I65" s="33">
        <f>Taxes187210[[#This Row],[Projected 
cost]]-Taxes187210[[#This Row],[Actual 
cost]]</f>
        <v>0</v>
      </c>
    </row>
    <row r="66" spans="1:9" ht="15.9" x14ac:dyDescent="0.45">
      <c r="A66" s="32" t="s">
        <v>79</v>
      </c>
      <c r="B66" s="33">
        <v>0</v>
      </c>
      <c r="C66" s="33">
        <v>0</v>
      </c>
      <c r="D66" s="33">
        <f>Insurance185209[[#This Row],[Projected
cost]]-Insurance185209[[#This Row],[Actual 
cost]]</f>
        <v>0</v>
      </c>
      <c r="E66" s="28"/>
      <c r="F66" s="32" t="s">
        <v>80</v>
      </c>
      <c r="G66" s="33">
        <v>0</v>
      </c>
      <c r="H66" s="33">
        <v>0</v>
      </c>
      <c r="I66" s="33">
        <f>Taxes187210[[#This Row],[Projected 
cost]]-Taxes187210[[#This Row],[Actual 
cost]]</f>
        <v>0</v>
      </c>
    </row>
    <row r="67" spans="1:9" ht="15.9" x14ac:dyDescent="0.45">
      <c r="A67" s="32" t="s">
        <v>61</v>
      </c>
      <c r="B67" s="33">
        <v>0</v>
      </c>
      <c r="C67" s="33">
        <v>0</v>
      </c>
      <c r="D67" s="33">
        <f>Insurance185209[[#This Row],[Projected
cost]]-Insurance185209[[#This Row],[Actual 
cost]]</f>
        <v>0</v>
      </c>
      <c r="E67" s="28"/>
      <c r="F67" s="32" t="s">
        <v>61</v>
      </c>
      <c r="G67" s="33">
        <v>0</v>
      </c>
      <c r="H67" s="33">
        <v>0</v>
      </c>
      <c r="I67" s="33">
        <f>Taxes187210[[#This Row],[Projected 
cost]]-Taxes187210[[#This Row],[Actual 
cost]]</f>
        <v>0</v>
      </c>
    </row>
    <row r="68" spans="1:9" ht="18.45" x14ac:dyDescent="0.45">
      <c r="A68" s="34" t="s">
        <v>64</v>
      </c>
      <c r="B68" s="35" t="s">
        <v>122</v>
      </c>
      <c r="C68" s="35">
        <f>SUM(Insurance185209[Actual 
cost])</f>
        <v>0</v>
      </c>
      <c r="D68" s="36">
        <f>SUBTOTAL(109,Insurance185209[Difference])</f>
        <v>0</v>
      </c>
      <c r="E68" s="28"/>
      <c r="F68" s="34" t="s">
        <v>64</v>
      </c>
      <c r="G68" s="35">
        <f>SUM(Taxes187210[Projected 
cost])</f>
        <v>0</v>
      </c>
      <c r="H68" s="35">
        <f>SUM(Taxes187210[Actual 
cost])</f>
        <v>0</v>
      </c>
      <c r="I68" s="36">
        <f>SUBTOTAL(109,Taxes187210[Difference])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Food191212[[#This Row],[Projected 
cost]]-Food191212[[#This Row],[Actual 
cost]]</f>
        <v>0</v>
      </c>
      <c r="E72" s="28"/>
      <c r="F72" s="32" t="s">
        <v>83</v>
      </c>
      <c r="G72" s="33">
        <v>0</v>
      </c>
      <c r="H72" s="33">
        <v>0</v>
      </c>
      <c r="I72" s="33">
        <f>Savings189211[[#This Row],[Projected 
cost]]-Savings189211[[#This Row],[Actual 
cost]]</f>
        <v>0</v>
      </c>
    </row>
    <row r="73" spans="1:9" ht="15.9" x14ac:dyDescent="0.45">
      <c r="A73" s="32" t="s">
        <v>84</v>
      </c>
      <c r="B73" s="33">
        <v>0</v>
      </c>
      <c r="C73" s="33">
        <v>0</v>
      </c>
      <c r="D73" s="33">
        <f>Food191212[[#This Row],[Projected 
cost]]-Food191212[[#This Row],[Actual 
cost]]</f>
        <v>0</v>
      </c>
      <c r="E73" s="28"/>
      <c r="F73" s="32" t="s">
        <v>85</v>
      </c>
      <c r="G73" s="33">
        <v>0</v>
      </c>
      <c r="H73" s="33">
        <v>0</v>
      </c>
      <c r="I73" s="33">
        <f>Savings189211[[#This Row],[Projected 
cost]]-Savings189211[[#This Row],[Actual 
cost]]</f>
        <v>0</v>
      </c>
    </row>
    <row r="74" spans="1:9" ht="15.9" x14ac:dyDescent="0.45">
      <c r="A74" s="32" t="s">
        <v>61</v>
      </c>
      <c r="B74" s="33">
        <v>0</v>
      </c>
      <c r="C74" s="33">
        <v>0</v>
      </c>
      <c r="D74" s="33">
        <f>Food191212[[#This Row],[Projected 
cost]]-Food191212[[#This Row],[Actual 
cost]]</f>
        <v>0</v>
      </c>
      <c r="E74" s="28"/>
      <c r="F74" s="32" t="s">
        <v>61</v>
      </c>
      <c r="G74" s="33">
        <v>0</v>
      </c>
      <c r="H74" s="33">
        <v>0</v>
      </c>
      <c r="I74" s="33">
        <f>Savings189211[[#This Row],[Projected 
cost]]-Savings189211[[#This Row],[Actual 
cost]]</f>
        <v>0</v>
      </c>
    </row>
    <row r="75" spans="1:9" ht="18.45" x14ac:dyDescent="0.45">
      <c r="A75" s="34" t="s">
        <v>64</v>
      </c>
      <c r="B75" s="35">
        <f>SUM(Food191212[Projected 
cost])</f>
        <v>0</v>
      </c>
      <c r="C75" s="35">
        <f>SUM(Food191212[Actual 
cost])</f>
        <v>0</v>
      </c>
      <c r="D75" s="36">
        <f>SUBTOTAL(109,Food191212[Difference])</f>
        <v>0</v>
      </c>
      <c r="E75" s="28"/>
      <c r="F75" s="34" t="s">
        <v>64</v>
      </c>
      <c r="G75" s="35">
        <f>SUM(Savings189211[Projected 
cost])</f>
        <v>0</v>
      </c>
      <c r="H75" s="35">
        <f>SUM(Savings189211[Actual 
cost])</f>
        <v>0</v>
      </c>
      <c r="I75" s="36">
        <f>SUBTOTAL(109,Savings189211[Difference])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Pets195214[[#This Row],[Projected 
cost]]-Pets195214[[#This Row],[Actual 
cost]]</f>
        <v>0</v>
      </c>
      <c r="E79" s="28"/>
      <c r="F79" s="32" t="s">
        <v>87</v>
      </c>
      <c r="G79" s="33">
        <v>0</v>
      </c>
      <c r="H79" s="33">
        <v>0</v>
      </c>
      <c r="I79" s="33">
        <f>Gifts193213[[#This Row],[Projected 
cost]]-Gifts193213[[#This Row],[Actual 
cost]]</f>
        <v>0</v>
      </c>
    </row>
    <row r="80" spans="1:9" ht="15.9" x14ac:dyDescent="0.45">
      <c r="A80" s="32" t="s">
        <v>88</v>
      </c>
      <c r="B80" s="33">
        <v>0</v>
      </c>
      <c r="C80" s="33">
        <v>0</v>
      </c>
      <c r="D80" s="33">
        <f>Pets195214[[#This Row],[Projected 
cost]]-Pets195214[[#This Row],[Actual 
cost]]</f>
        <v>0</v>
      </c>
      <c r="E80" s="28"/>
      <c r="F80" s="32" t="s">
        <v>89</v>
      </c>
      <c r="G80" s="33">
        <v>0</v>
      </c>
      <c r="H80" s="33">
        <v>0</v>
      </c>
      <c r="I80" s="33">
        <f>Gifts193213[[#This Row],[Projected 
cost]]-Gifts193213[[#This Row],[Actual 
cost]]</f>
        <v>0</v>
      </c>
    </row>
    <row r="81" spans="1:10" ht="15.9" x14ac:dyDescent="0.45">
      <c r="A81" s="32" t="s">
        <v>90</v>
      </c>
      <c r="B81" s="33">
        <v>0</v>
      </c>
      <c r="C81" s="33">
        <v>0</v>
      </c>
      <c r="D81" s="33">
        <f>Pets195214[[#This Row],[Projected 
cost]]-Pets195214[[#This Row],[Actual 
cost]]</f>
        <v>0</v>
      </c>
      <c r="E81" s="28"/>
      <c r="F81" s="32" t="s">
        <v>91</v>
      </c>
      <c r="G81" s="33">
        <v>0</v>
      </c>
      <c r="H81" s="33">
        <v>0</v>
      </c>
      <c r="I81" s="33">
        <f>Gifts193213[[#This Row],[Projected 
cost]]-Gifts193213[[#This Row],[Actual 
cost]]</f>
        <v>0</v>
      </c>
    </row>
    <row r="82" spans="1:10" ht="18.45" x14ac:dyDescent="0.45">
      <c r="A82" s="32" t="s">
        <v>92</v>
      </c>
      <c r="B82" s="33">
        <v>0</v>
      </c>
      <c r="C82" s="33">
        <v>0</v>
      </c>
      <c r="D82" s="33">
        <f>Pets195214[[#This Row],[Projected 
cost]]-Pets195214[[#This Row],[Actual 
cost]]</f>
        <v>0</v>
      </c>
      <c r="E82" s="28"/>
      <c r="F82" s="34" t="s">
        <v>64</v>
      </c>
      <c r="G82" s="35">
        <f>SUM(Gifts193213[Projected 
cost])</f>
        <v>0</v>
      </c>
      <c r="H82" s="35">
        <f>SUM(Gifts193213[Actual 
cost])</f>
        <v>0</v>
      </c>
      <c r="I82" s="36">
        <f>SUBTOTAL(109,Gifts193213[Difference])</f>
        <v>0</v>
      </c>
    </row>
    <row r="83" spans="1:10" ht="18.45" x14ac:dyDescent="0.45">
      <c r="A83" s="32" t="s">
        <v>61</v>
      </c>
      <c r="B83" s="33">
        <v>0</v>
      </c>
      <c r="C83" s="33">
        <v>0</v>
      </c>
      <c r="D83" s="33">
        <f>Pets195214[[#This Row],[Projected 
cost]]-Pets195214[[#This Row],[Actual 
cost]]</f>
        <v>0</v>
      </c>
      <c r="E83" s="28"/>
      <c r="F83" s="39"/>
      <c r="G83" s="46"/>
      <c r="H83" s="46"/>
      <c r="I83" s="33"/>
    </row>
    <row r="84" spans="1:10" ht="18.45" x14ac:dyDescent="0.45">
      <c r="A84" s="34" t="s">
        <v>64</v>
      </c>
      <c r="B84" s="51">
        <f>SUM(Pets195214[Projected 
cost])</f>
        <v>0</v>
      </c>
      <c r="C84" s="51">
        <f>SUM(Pets195214[Actual 
cost])</f>
        <v>0</v>
      </c>
      <c r="D84" s="51">
        <f>SUBTOTAL(109,Pets195214[Difference])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PersonalCare197215[[#This Row],[Projected 
cost]]-PersonalCare197215[[#This Row],[Actual 
cost]]</f>
        <v>0</v>
      </c>
      <c r="E88" s="28"/>
      <c r="F88" s="32" t="s">
        <v>87</v>
      </c>
      <c r="G88" s="33">
        <v>0</v>
      </c>
      <c r="H88" s="33">
        <v>0</v>
      </c>
      <c r="I88" s="33">
        <f>Legal198216[[#This Row],[Projected 
cost]]-Legal198216[[#This Row],[Actual 
cost]]</f>
        <v>0</v>
      </c>
    </row>
    <row r="89" spans="1:10" ht="15.9" x14ac:dyDescent="0.45">
      <c r="A89" s="32" t="s">
        <v>94</v>
      </c>
      <c r="B89" s="33">
        <v>0</v>
      </c>
      <c r="C89" s="33">
        <v>0</v>
      </c>
      <c r="D89" s="33">
        <f>PersonalCare197215[[#This Row],[Projected 
cost]]-PersonalCare197215[[#This Row],[Actual 
cost]]</f>
        <v>0</v>
      </c>
      <c r="E89" s="28"/>
      <c r="F89" s="32" t="s">
        <v>89</v>
      </c>
      <c r="G89" s="33">
        <v>0</v>
      </c>
      <c r="H89" s="33">
        <v>0</v>
      </c>
      <c r="I89" s="33">
        <f>Legal198216[[#This Row],[Projected 
cost]]-Legal198216[[#This Row],[Actual 
cost]]</f>
        <v>0</v>
      </c>
    </row>
    <row r="90" spans="1:10" ht="15.9" x14ac:dyDescent="0.45">
      <c r="A90" s="32" t="s">
        <v>95</v>
      </c>
      <c r="B90" s="33">
        <v>0</v>
      </c>
      <c r="C90" s="33">
        <v>0</v>
      </c>
      <c r="D90" s="33">
        <f>PersonalCare197215[[#This Row],[Projected 
cost]]-PersonalCare197215[[#This Row],[Actual 
cost]]</f>
        <v>0</v>
      </c>
      <c r="E90" s="28"/>
      <c r="F90" s="32" t="s">
        <v>91</v>
      </c>
      <c r="G90" s="33">
        <v>0</v>
      </c>
      <c r="H90" s="33">
        <v>0</v>
      </c>
      <c r="I90" s="33">
        <f>Legal198216[[#This Row],[Projected 
cost]]-Legal198216[[#This Row],[Actual 
cost]]</f>
        <v>0</v>
      </c>
    </row>
    <row r="91" spans="1:10" ht="15.9" x14ac:dyDescent="0.45">
      <c r="A91" s="32" t="s">
        <v>96</v>
      </c>
      <c r="B91" s="33">
        <v>0</v>
      </c>
      <c r="C91" s="33">
        <v>0</v>
      </c>
      <c r="D91" s="33">
        <f>PersonalCare197215[[#This Row],[Projected 
cost]]-PersonalCare197215[[#This Row],[Actual 
cost]]</f>
        <v>0</v>
      </c>
      <c r="E91" s="28"/>
      <c r="F91" s="32" t="s">
        <v>97</v>
      </c>
      <c r="G91" s="33">
        <v>0</v>
      </c>
      <c r="H91" s="33">
        <v>0</v>
      </c>
      <c r="I91" s="33">
        <f>Legal198216[[#This Row],[Projected 
cost]]-Legal198216[[#This Row],[Actual 
cost]]</f>
        <v>0</v>
      </c>
    </row>
    <row r="92" spans="1:10" ht="18.45" x14ac:dyDescent="0.45">
      <c r="A92" s="32" t="s">
        <v>98</v>
      </c>
      <c r="B92" s="33">
        <v>0</v>
      </c>
      <c r="C92" s="33">
        <v>0</v>
      </c>
      <c r="D92" s="33">
        <f>PersonalCare197215[[#This Row],[Projected 
cost]]-PersonalCare197215[[#This Row],[Actual 
cost]]</f>
        <v>0</v>
      </c>
      <c r="E92" s="28"/>
      <c r="F92" s="34" t="s">
        <v>64</v>
      </c>
      <c r="G92" s="35">
        <f>SUM(Legal198216[Projected 
cost])</f>
        <v>0</v>
      </c>
      <c r="H92" s="35">
        <f>SUM(Legal198216[Actual 
cost])</f>
        <v>0</v>
      </c>
      <c r="I92" s="36">
        <f>SUBTOTAL(109,Legal198216[Difference])</f>
        <v>0</v>
      </c>
    </row>
    <row r="93" spans="1:10" ht="15.9" x14ac:dyDescent="0.45">
      <c r="A93" s="32" t="s">
        <v>99</v>
      </c>
      <c r="B93" s="33">
        <v>0</v>
      </c>
      <c r="C93" s="33">
        <v>0</v>
      </c>
      <c r="D93" s="33">
        <f>PersonalCare197215[[#This Row],[Projected 
cost]]-PersonalCare197215[[#This Row],[Actual 
cost]]</f>
        <v>0</v>
      </c>
      <c r="E93" s="28"/>
      <c r="F93" s="38"/>
      <c r="G93" s="38"/>
      <c r="H93" s="38"/>
      <c r="I93" s="38"/>
    </row>
    <row r="94" spans="1:10" ht="15.9" customHeight="1" x14ac:dyDescent="0.45">
      <c r="A94" s="32" t="s">
        <v>61</v>
      </c>
      <c r="B94" s="33">
        <v>0</v>
      </c>
      <c r="C94" s="33">
        <v>0</v>
      </c>
      <c r="D94" s="33">
        <f>PersonalCare197215[[#This Row],[Projected 
cost]]-PersonalCare197215[[#This Row],[Actual 
cost]]</f>
        <v>0</v>
      </c>
      <c r="E94" s="28"/>
      <c r="F94" s="67" t="s">
        <v>121</v>
      </c>
      <c r="G94" s="67"/>
      <c r="H94" s="67"/>
      <c r="I94" s="68">
        <f>J59</f>
        <v>0</v>
      </c>
      <c r="J94" s="69" t="s">
        <v>123</v>
      </c>
    </row>
    <row r="95" spans="1:10" ht="18.45" x14ac:dyDescent="0.45">
      <c r="A95" s="34" t="s">
        <v>64</v>
      </c>
      <c r="B95" s="35">
        <f>SUM(PersonalCare197215[Projected 
cost])</f>
        <v>0</v>
      </c>
      <c r="C95" s="35">
        <f>SUM(PersonalCare197215[Actual 
cost])</f>
        <v>0</v>
      </c>
      <c r="D95" s="36">
        <f>SUBTOTAL(109,PersonalCare197215[Difference])</f>
        <v>0</v>
      </c>
      <c r="E95" s="28"/>
      <c r="F95" s="67"/>
      <c r="G95" s="67"/>
      <c r="H95" s="67"/>
      <c r="I95" s="68"/>
      <c r="J95" s="69"/>
    </row>
    <row r="96" spans="1:10" ht="15.9" x14ac:dyDescent="0.45">
      <c r="A96" s="54"/>
      <c r="B96" s="54"/>
      <c r="C96" s="54"/>
      <c r="D96" s="54"/>
      <c r="E96" s="28"/>
      <c r="F96" s="76" t="s">
        <v>100</v>
      </c>
      <c r="G96" s="76"/>
      <c r="H96" s="76"/>
      <c r="I96" s="78">
        <f>SUBTOTAL(109,Housing179205[Projected
cost],Transportation183208[Projected 
cost],Insurance185209[Projected
cost],Food191212[Projected 
cost],Pets195214[Projected 
cost],PersonalCare197215[Projected 
cost],Entertainment180206[Projected 
cost],Loans182207[Projected 
cost],Taxes187210[Projected 
cost],Savings189211[Projected 
cost],Gifts193213[Projected 
cost],Legal198216[Projected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SUBTOTAL(109,Housing179205[Actual 
cost],Transportation183208[Actual 
cost],Insurance185209[Actual 
cost],Food191212[Actual 
cost],Pets195214[Actual 
cost],PersonalCare197215[Actual 
cost],Entertainment180206[Actual 
cost],Loans182207[Actual 
cost],Taxes187210[Actual 
cost],Savings189211[Actual 
cost],Gifts193213[Actual 
cost],Legal198216[Actual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55E35-3036-4CFA-8E3F-32E11EFFA3E5}">
  <sheetPr>
    <tabColor rgb="FFFF99CC"/>
  </sheetPr>
  <dimension ref="B1:T65"/>
  <sheetViews>
    <sheetView topLeftCell="A11" zoomScale="62" workbookViewId="0">
      <selection activeCell="F46" sqref="F4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'April Budget'!J55</f>
        <v>0</v>
      </c>
      <c r="D4" s="42">
        <f>'April Budget'!H55</f>
        <v>0</v>
      </c>
      <c r="E4" s="59">
        <v>0</v>
      </c>
      <c r="F4" s="3" t="s">
        <v>107</v>
      </c>
      <c r="G4" s="60" t="s">
        <v>109</v>
      </c>
      <c r="H4" s="7"/>
      <c r="I4" s="7"/>
      <c r="J4" s="7"/>
      <c r="K4" s="7"/>
      <c r="L4" s="7"/>
      <c r="M4" s="7"/>
      <c r="N4" s="7"/>
      <c r="O4" s="7"/>
      <c r="P4" s="2"/>
      <c r="Q4" s="2"/>
      <c r="R4" s="2"/>
      <c r="S4" s="2"/>
      <c r="T4" s="2"/>
    </row>
    <row r="5" spans="2:20" ht="14.6" x14ac:dyDescent="0.4">
      <c r="B5" s="10"/>
      <c r="C5" s="57">
        <f>'April Budget'!J56</f>
        <v>0</v>
      </c>
      <c r="D5" s="42">
        <f>'April Budget'!H56</f>
        <v>0</v>
      </c>
      <c r="E5" s="59"/>
      <c r="F5" s="3" t="s">
        <v>108</v>
      </c>
    </row>
    <row r="6" spans="2:20" ht="14.6" x14ac:dyDescent="0.4">
      <c r="B6" s="10"/>
      <c r="C6" s="57">
        <f>'April Budget'!J57</f>
        <v>0</v>
      </c>
      <c r="D6" s="42">
        <f>'April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'April Budget'!J54</f>
        <v>0</v>
      </c>
      <c r="E45" s="9">
        <v>0</v>
      </c>
      <c r="F45" s="10">
        <f>'April Budget'!H54</f>
        <v>0</v>
      </c>
      <c r="G45" s="3" t="s">
        <v>112</v>
      </c>
    </row>
    <row r="46" spans="2:7" ht="15" customHeight="1" x14ac:dyDescent="0.4">
      <c r="C46" t="s">
        <v>67</v>
      </c>
      <c r="D46" s="10">
        <f>'April Budget'!J53</f>
        <v>0</v>
      </c>
      <c r="F46" s="10">
        <f>'April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6A77D4B9-825D-4268-99BD-BEF4F31FCD11}"/>
    <hyperlink ref="F4" r:id="rId2" xr:uid="{8404B0A9-1F37-46CB-8F13-C276D989ABD0}"/>
    <hyperlink ref="F5" r:id="rId3" xr:uid="{D81673D1-487A-4A5E-B4C6-24E7931C446E}"/>
  </hyperlinks>
  <pageMargins left="0.7" right="0.7" top="0.75" bottom="0.75" header="0.3" footer="0.3"/>
  <drawing r:id="rId4"/>
  <tableParts count="4">
    <tablePart r:id="rId5"/>
    <tablePart r:id="rId6"/>
    <tablePart r:id="rId7"/>
    <tablePart r:id="rId8"/>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926C3-EBCF-4C7E-BF7D-53D87BF30563}">
  <sheetPr>
    <tabColor rgb="FF92D050"/>
  </sheetPr>
  <dimension ref="A1:O150"/>
  <sheetViews>
    <sheetView topLeftCell="A44" zoomScale="59" workbookViewId="0">
      <selection activeCell="L71" sqref="L71"/>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Entertainment180206232245[[#This Row],[Projected 
cost]]-Entertainment180206232245[[#This Row],[Actual 
cost]]</f>
        <v>0</v>
      </c>
    </row>
    <row r="40" spans="1:9" ht="15.9" x14ac:dyDescent="0.45">
      <c r="A40" s="31" t="s">
        <v>50</v>
      </c>
      <c r="B40" s="4">
        <v>0</v>
      </c>
      <c r="C40" s="4">
        <v>0</v>
      </c>
      <c r="D40" s="4"/>
      <c r="E40" s="28"/>
      <c r="F40" s="32" t="s">
        <v>51</v>
      </c>
      <c r="G40" s="33">
        <v>0</v>
      </c>
      <c r="H40" s="33">
        <v>0</v>
      </c>
      <c r="I40" s="33">
        <f>Entertainment180206232245[[#This Row],[Projected 
cost]]-Entertainment180206232245[[#This Row],[Actual 
cost]]</f>
        <v>0</v>
      </c>
    </row>
    <row r="41" spans="1:9" ht="15.9" x14ac:dyDescent="0.45">
      <c r="A41" s="31" t="s">
        <v>52</v>
      </c>
      <c r="B41" s="4">
        <v>0</v>
      </c>
      <c r="C41" s="4">
        <v>0</v>
      </c>
      <c r="D41" s="4"/>
      <c r="E41" s="28"/>
      <c r="F41" s="32" t="s">
        <v>53</v>
      </c>
      <c r="G41" s="33">
        <v>0</v>
      </c>
      <c r="H41" s="33">
        <v>0</v>
      </c>
      <c r="I41" s="33">
        <f>Entertainment180206232245[[#This Row],[Projected 
cost]]-Entertainment180206232245[[#This Row],[Actual 
cost]]</f>
        <v>0</v>
      </c>
    </row>
    <row r="42" spans="1:9" ht="15.9" x14ac:dyDescent="0.45">
      <c r="A42" s="31" t="s">
        <v>54</v>
      </c>
      <c r="B42" s="4">
        <v>0</v>
      </c>
      <c r="C42" s="4">
        <v>0</v>
      </c>
      <c r="D42" s="4"/>
      <c r="E42" s="28"/>
      <c r="F42" s="32" t="s">
        <v>55</v>
      </c>
      <c r="G42" s="33">
        <v>0</v>
      </c>
      <c r="H42" s="33">
        <v>0</v>
      </c>
      <c r="I42" s="33">
        <f>Entertainment180206232245[[#This Row],[Projected 
cost]]-Entertainment180206232245[[#This Row],[Actual 
cost]]</f>
        <v>0</v>
      </c>
    </row>
    <row r="43" spans="1:9" ht="15.9" x14ac:dyDescent="0.45">
      <c r="A43" s="31" t="s">
        <v>56</v>
      </c>
      <c r="B43" s="4">
        <v>0</v>
      </c>
      <c r="C43" s="4">
        <v>0</v>
      </c>
      <c r="D43" s="4"/>
      <c r="E43" s="28"/>
      <c r="F43" s="32" t="s">
        <v>57</v>
      </c>
      <c r="G43" s="33">
        <v>0</v>
      </c>
      <c r="H43" s="33">
        <v>0</v>
      </c>
      <c r="I43" s="33">
        <f>Entertainment180206232245[[#This Row],[Projected 
cost]]-Entertainment180206232245[[#This Row],[Actual 
cost]]</f>
        <v>0</v>
      </c>
    </row>
    <row r="44" spans="1:9" ht="15.9" x14ac:dyDescent="0.45">
      <c r="A44" s="31" t="s">
        <v>58</v>
      </c>
      <c r="B44" s="4">
        <v>0</v>
      </c>
      <c r="C44" s="4">
        <v>0</v>
      </c>
      <c r="D44" s="4"/>
      <c r="E44" s="28"/>
      <c r="F44" s="32" t="s">
        <v>59</v>
      </c>
      <c r="G44" s="33">
        <v>0</v>
      </c>
      <c r="H44" s="33">
        <v>0</v>
      </c>
      <c r="I44" s="33">
        <f>Entertainment180206232245[[#This Row],[Projected 
cost]]-Entertainment180206232245[[#This Row],[Actual 
cost]]</f>
        <v>0</v>
      </c>
    </row>
    <row r="45" spans="1:9" ht="15.9" x14ac:dyDescent="0.45">
      <c r="A45" s="31" t="s">
        <v>60</v>
      </c>
      <c r="B45" s="4">
        <v>0</v>
      </c>
      <c r="C45" s="4">
        <v>0</v>
      </c>
      <c r="D45" s="4"/>
      <c r="E45" s="28"/>
      <c r="F45" s="32" t="s">
        <v>61</v>
      </c>
      <c r="G45" s="33">
        <v>0</v>
      </c>
      <c r="H45" s="33">
        <v>0</v>
      </c>
      <c r="I45" s="33">
        <f>Entertainment180206232245[[#This Row],[Projected 
cost]]-Entertainment180206232245[[#This Row],[Actual 
cost]]</f>
        <v>0</v>
      </c>
    </row>
    <row r="46" spans="1:9" ht="15.9" x14ac:dyDescent="0.45">
      <c r="A46" s="31" t="s">
        <v>62</v>
      </c>
      <c r="B46" s="4">
        <v>0</v>
      </c>
      <c r="C46" s="4">
        <v>0</v>
      </c>
      <c r="D46" s="4"/>
      <c r="E46" s="28"/>
      <c r="F46" s="32" t="s">
        <v>61</v>
      </c>
      <c r="G46" s="33">
        <v>0</v>
      </c>
      <c r="H46" s="33">
        <v>0</v>
      </c>
      <c r="I46" s="33">
        <f>Entertainment180206232245[[#This Row],[Projected 
cost]]-Entertainment180206232245[[#This Row],[Actual 
cost]]</f>
        <v>0</v>
      </c>
    </row>
    <row r="47" spans="1:9" ht="15.9" x14ac:dyDescent="0.45">
      <c r="A47" s="31" t="s">
        <v>63</v>
      </c>
      <c r="B47" s="4">
        <v>0</v>
      </c>
      <c r="C47" s="4">
        <v>0</v>
      </c>
      <c r="D47" s="4"/>
      <c r="E47" s="28"/>
      <c r="F47" s="32" t="s">
        <v>61</v>
      </c>
      <c r="G47" s="33">
        <v>0</v>
      </c>
      <c r="H47" s="33">
        <v>0</v>
      </c>
      <c r="I47" s="33">
        <f>Entertainment180206232245[[#This Row],[Projected 
cost]]-Entertainment180206232245[[#This Row],[Actual 
cost]]</f>
        <v>0</v>
      </c>
    </row>
    <row r="48" spans="1:9" ht="18.45" x14ac:dyDescent="0.45">
      <c r="A48" s="31" t="s">
        <v>61</v>
      </c>
      <c r="B48" s="4">
        <v>0</v>
      </c>
      <c r="C48" s="4">
        <v>0</v>
      </c>
      <c r="D48" s="4"/>
      <c r="E48" s="28"/>
      <c r="F48" s="34" t="s">
        <v>64</v>
      </c>
      <c r="G48" s="35">
        <f>SUM(Entertainment180206232245[Projected 
cost])</f>
        <v>0</v>
      </c>
      <c r="H48" s="35">
        <f>SUM(Entertainment180206232245[Actual 
cost])</f>
        <v>0</v>
      </c>
      <c r="I48" s="36">
        <f>SUBTOTAL(109,Entertainment180206232245[Difference])</f>
        <v>0</v>
      </c>
    </row>
    <row r="49" spans="1:10" ht="18.45" x14ac:dyDescent="0.45">
      <c r="A49" s="37" t="s">
        <v>64</v>
      </c>
      <c r="B49" s="4">
        <f>SUM(Housing179205231244[Projected
cost])</f>
        <v>0</v>
      </c>
      <c r="C49" s="4">
        <f>SUM(Housing179205231244[Actual 
cost])</f>
        <v>0</v>
      </c>
      <c r="D49" s="4">
        <f>SUBTOTAL(109,Housing179205231244[Difference])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Transportation183208234247[[#This Row],[Projected 
cost]]-Transportation183208234247[[#This Row],[Actual 
cost]]</f>
        <v>0</v>
      </c>
      <c r="E53" s="28"/>
      <c r="F53" s="32" t="s">
        <v>67</v>
      </c>
      <c r="G53" s="33">
        <v>0</v>
      </c>
      <c r="H53" s="33">
        <v>0</v>
      </c>
      <c r="I53" s="33">
        <f>Loans182207233246[[#This Row],[Projected 
cost]]-Loans182207233246[[#This Row],[Actual 
cost]]</f>
        <v>0</v>
      </c>
      <c r="J53" s="42">
        <v>0</v>
      </c>
    </row>
    <row r="54" spans="1:10" ht="15.9" x14ac:dyDescent="0.45">
      <c r="A54" s="32" t="s">
        <v>68</v>
      </c>
      <c r="B54" s="33">
        <v>0</v>
      </c>
      <c r="C54" s="33">
        <v>0</v>
      </c>
      <c r="D54" s="33">
        <f>Transportation183208234247[[#This Row],[Projected 
cost]]-Transportation183208234247[[#This Row],[Actual 
cost]]</f>
        <v>0</v>
      </c>
      <c r="E54" s="28"/>
      <c r="F54" s="32" t="s">
        <v>69</v>
      </c>
      <c r="G54" s="33">
        <v>0</v>
      </c>
      <c r="H54" s="33">
        <v>0</v>
      </c>
      <c r="I54" s="33">
        <f>Loans182207233246[[#This Row],[Projected 
cost]]-Loans182207233246[[#This Row],[Actual 
cost]]</f>
        <v>0</v>
      </c>
      <c r="J54" s="42">
        <v>0</v>
      </c>
    </row>
    <row r="55" spans="1:10" ht="15.9" x14ac:dyDescent="0.45">
      <c r="A55" s="32" t="s">
        <v>70</v>
      </c>
      <c r="B55" s="33">
        <v>0</v>
      </c>
      <c r="C55" s="33">
        <v>0</v>
      </c>
      <c r="D55" s="33">
        <f>Transportation183208234247[[#This Row],[Projected 
cost]]-Transportation183208234247[[#This Row],[Actual 
cost]]</f>
        <v>0</v>
      </c>
      <c r="E55" s="28"/>
      <c r="F55" s="32" t="s">
        <v>71</v>
      </c>
      <c r="G55" s="33">
        <v>0</v>
      </c>
      <c r="H55" s="33">
        <v>0</v>
      </c>
      <c r="I55" s="33">
        <f>Loans182207233246[[#This Row],[Projected 
cost]]-Loans182207233246[[#This Row],[Actual 
cost]]</f>
        <v>0</v>
      </c>
      <c r="J55" s="42">
        <v>0</v>
      </c>
    </row>
    <row r="56" spans="1:10" ht="15.9" x14ac:dyDescent="0.45">
      <c r="A56" s="32" t="s">
        <v>72</v>
      </c>
      <c r="B56" s="33">
        <v>0</v>
      </c>
      <c r="C56" s="33">
        <v>0</v>
      </c>
      <c r="D56" s="33">
        <f>Transportation183208234247[[#This Row],[Projected 
cost]]-Transportation183208234247[[#This Row],[Actual 
cost]]</f>
        <v>0</v>
      </c>
      <c r="E56" s="28"/>
      <c r="F56" s="32" t="s">
        <v>71</v>
      </c>
      <c r="G56" s="33">
        <v>0</v>
      </c>
      <c r="H56" s="33">
        <v>0</v>
      </c>
      <c r="I56" s="33">
        <f>Loans182207233246[[#This Row],[Projected 
cost]]-Loans182207233246[[#This Row],[Actual 
cost]]</f>
        <v>0</v>
      </c>
      <c r="J56" s="42">
        <v>0</v>
      </c>
    </row>
    <row r="57" spans="1:10" ht="15.9" x14ac:dyDescent="0.45">
      <c r="A57" s="32" t="s">
        <v>73</v>
      </c>
      <c r="B57" s="33">
        <v>0</v>
      </c>
      <c r="C57" s="33">
        <v>0</v>
      </c>
      <c r="D57" s="33">
        <f>Transportation183208234247[[#This Row],[Projected 
cost]]-Transportation183208234247[[#This Row],[Actual 
cost]]</f>
        <v>0</v>
      </c>
      <c r="E57" s="28"/>
      <c r="F57" s="32" t="s">
        <v>71</v>
      </c>
      <c r="G57" s="33">
        <v>0</v>
      </c>
      <c r="H57" s="33">
        <v>0</v>
      </c>
      <c r="I57" s="33">
        <f>Loans182207233246[[#This Row],[Projected 
cost]]-Loans182207233246[[#This Row],[Actual 
cost]]</f>
        <v>0</v>
      </c>
      <c r="J57" s="42">
        <v>0</v>
      </c>
    </row>
    <row r="58" spans="1:10" ht="15.9" x14ac:dyDescent="0.45">
      <c r="A58" s="32" t="s">
        <v>74</v>
      </c>
      <c r="B58" s="33">
        <v>0</v>
      </c>
      <c r="C58" s="33">
        <v>0</v>
      </c>
      <c r="D58" s="33">
        <f>Transportation183208234247[[#This Row],[Projected 
cost]]-Transportation183208234247[[#This Row],[Actual 
cost]]</f>
        <v>0</v>
      </c>
      <c r="E58" s="28"/>
      <c r="F58" s="32" t="s">
        <v>61</v>
      </c>
      <c r="G58" s="33">
        <v>0</v>
      </c>
      <c r="H58" s="33">
        <v>0</v>
      </c>
      <c r="I58" s="33">
        <f>Loans182207233246[[#This Row],[Projected 
cost]]-Loans182207233246[[#This Row],[Actual 
cost]]</f>
        <v>0</v>
      </c>
      <c r="J58" s="42">
        <v>0</v>
      </c>
    </row>
    <row r="59" spans="1:10" ht="18.45" x14ac:dyDescent="0.45">
      <c r="A59" s="32" t="s">
        <v>61</v>
      </c>
      <c r="B59" s="33">
        <v>0</v>
      </c>
      <c r="C59" s="33">
        <v>0</v>
      </c>
      <c r="D59" s="33">
        <f>Transportation183208234247[[#This Row],[Projected 
cost]]-Transportation183208234247[[#This Row],[Actual 
cost]]</f>
        <v>0</v>
      </c>
      <c r="E59" s="28"/>
      <c r="F59" s="34" t="s">
        <v>64</v>
      </c>
      <c r="G59" s="35">
        <f>SUM(Loans182207233246[Projected 
cost])</f>
        <v>0</v>
      </c>
      <c r="H59" s="35">
        <f>SUM(Loans182207233246[Actual 
cost])</f>
        <v>0</v>
      </c>
      <c r="I59" s="36">
        <f>SUBTOTAL(109,Loans182207233246[Difference])</f>
        <v>0</v>
      </c>
      <c r="J59" s="43">
        <f>SUM(J53:J58)</f>
        <v>0</v>
      </c>
    </row>
    <row r="60" spans="1:10" ht="18.45" x14ac:dyDescent="0.45">
      <c r="A60" s="34" t="s">
        <v>64</v>
      </c>
      <c r="B60" s="35">
        <f>SUM(Transportation183208234247[Projected 
cost])</f>
        <v>0</v>
      </c>
      <c r="C60" s="35">
        <f>SUM(Transportation183208234247[Actual 
cost])</f>
        <v>0</v>
      </c>
      <c r="D60" s="36">
        <f>SUBTOTAL(109,Transportation183208234247[Difference])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Insurance185209235248[[#This Row],[Projected
cost]]-Insurance185209235248[[#This Row],[Actual 
cost]]</f>
        <v>0</v>
      </c>
      <c r="E64" s="28"/>
      <c r="F64" s="32" t="s">
        <v>76</v>
      </c>
      <c r="G64" s="33">
        <v>0</v>
      </c>
      <c r="H64" s="33">
        <v>0</v>
      </c>
      <c r="I64" s="33">
        <f>Taxes187210236249[[#This Row],[Projected 
cost]]-Taxes187210236249[[#This Row],[Actual 
cost]]</f>
        <v>0</v>
      </c>
    </row>
    <row r="65" spans="1:9" ht="15.9" x14ac:dyDescent="0.45">
      <c r="A65" s="32" t="s">
        <v>77</v>
      </c>
      <c r="B65" s="33">
        <v>0</v>
      </c>
      <c r="C65" s="33">
        <v>0</v>
      </c>
      <c r="D65" s="33">
        <f>Insurance185209235248[[#This Row],[Projected
cost]]-Insurance185209235248[[#This Row],[Actual 
cost]]</f>
        <v>0</v>
      </c>
      <c r="E65" s="28"/>
      <c r="F65" s="32" t="s">
        <v>78</v>
      </c>
      <c r="G65" s="33">
        <v>0</v>
      </c>
      <c r="H65" s="33">
        <v>0</v>
      </c>
      <c r="I65" s="33">
        <f>Taxes187210236249[[#This Row],[Projected 
cost]]-Taxes187210236249[[#This Row],[Actual 
cost]]</f>
        <v>0</v>
      </c>
    </row>
    <row r="66" spans="1:9" ht="15.9" x14ac:dyDescent="0.45">
      <c r="A66" s="32" t="s">
        <v>79</v>
      </c>
      <c r="B66" s="33">
        <v>0</v>
      </c>
      <c r="C66" s="33">
        <v>0</v>
      </c>
      <c r="D66" s="33">
        <f>Insurance185209235248[[#This Row],[Projected
cost]]-Insurance185209235248[[#This Row],[Actual 
cost]]</f>
        <v>0</v>
      </c>
      <c r="E66" s="28"/>
      <c r="F66" s="32" t="s">
        <v>80</v>
      </c>
      <c r="G66" s="33">
        <v>0</v>
      </c>
      <c r="H66" s="33">
        <v>0</v>
      </c>
      <c r="I66" s="33">
        <f>Taxes187210236249[[#This Row],[Projected 
cost]]-Taxes187210236249[[#This Row],[Actual 
cost]]</f>
        <v>0</v>
      </c>
    </row>
    <row r="67" spans="1:9" ht="15.9" x14ac:dyDescent="0.45">
      <c r="A67" s="32" t="s">
        <v>61</v>
      </c>
      <c r="B67" s="33">
        <v>0</v>
      </c>
      <c r="C67" s="33">
        <v>0</v>
      </c>
      <c r="D67" s="33">
        <f>Insurance185209235248[[#This Row],[Projected
cost]]-Insurance185209235248[[#This Row],[Actual 
cost]]</f>
        <v>0</v>
      </c>
      <c r="E67" s="28"/>
      <c r="F67" s="32" t="s">
        <v>61</v>
      </c>
      <c r="G67" s="33">
        <v>0</v>
      </c>
      <c r="H67" s="33">
        <v>0</v>
      </c>
      <c r="I67" s="33">
        <f>Taxes187210236249[[#This Row],[Projected 
cost]]-Taxes187210236249[[#This Row],[Actual 
cost]]</f>
        <v>0</v>
      </c>
    </row>
    <row r="68" spans="1:9" ht="18.45" x14ac:dyDescent="0.45">
      <c r="A68" s="34" t="s">
        <v>64</v>
      </c>
      <c r="B68" s="35" t="s">
        <v>122</v>
      </c>
      <c r="C68" s="35">
        <f>SUM(Insurance185209235248[Actual 
cost])</f>
        <v>0</v>
      </c>
      <c r="D68" s="36">
        <f>SUBTOTAL(109,Insurance185209235248[Difference])</f>
        <v>0</v>
      </c>
      <c r="E68" s="28"/>
      <c r="F68" s="34" t="s">
        <v>64</v>
      </c>
      <c r="G68" s="35">
        <f>SUM(Taxes187210236249[Projected 
cost])</f>
        <v>0</v>
      </c>
      <c r="H68" s="35">
        <f>SUM(Taxes187210236249[Actual 
cost])</f>
        <v>0</v>
      </c>
      <c r="I68" s="36">
        <f>SUBTOTAL(109,Taxes187210236249[Difference])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Food191212238251[[#This Row],[Projected 
cost]]-Food191212238251[[#This Row],[Actual 
cost]]</f>
        <v>0</v>
      </c>
      <c r="E72" s="28"/>
      <c r="F72" s="32" t="s">
        <v>83</v>
      </c>
      <c r="G72" s="33">
        <v>0</v>
      </c>
      <c r="H72" s="33">
        <v>0</v>
      </c>
      <c r="I72" s="33">
        <f>Savings189211237250[[#This Row],[Projected 
cost]]-Savings189211237250[[#This Row],[Actual 
cost]]</f>
        <v>0</v>
      </c>
    </row>
    <row r="73" spans="1:9" ht="15.9" x14ac:dyDescent="0.45">
      <c r="A73" s="32" t="s">
        <v>84</v>
      </c>
      <c r="B73" s="33">
        <v>0</v>
      </c>
      <c r="C73" s="33">
        <v>0</v>
      </c>
      <c r="D73" s="33">
        <f>Food191212238251[[#This Row],[Projected 
cost]]-Food191212238251[[#This Row],[Actual 
cost]]</f>
        <v>0</v>
      </c>
      <c r="E73" s="28"/>
      <c r="F73" s="32" t="s">
        <v>85</v>
      </c>
      <c r="G73" s="33">
        <v>0</v>
      </c>
      <c r="H73" s="33">
        <v>0</v>
      </c>
      <c r="I73" s="33">
        <f>Savings189211237250[[#This Row],[Projected 
cost]]-Savings189211237250[[#This Row],[Actual 
cost]]</f>
        <v>0</v>
      </c>
    </row>
    <row r="74" spans="1:9" ht="15.9" x14ac:dyDescent="0.45">
      <c r="A74" s="32" t="s">
        <v>61</v>
      </c>
      <c r="B74" s="33">
        <v>0</v>
      </c>
      <c r="C74" s="33">
        <v>0</v>
      </c>
      <c r="D74" s="33">
        <f>Food191212238251[[#This Row],[Projected 
cost]]-Food191212238251[[#This Row],[Actual 
cost]]</f>
        <v>0</v>
      </c>
      <c r="E74" s="28"/>
      <c r="F74" s="32" t="s">
        <v>61</v>
      </c>
      <c r="G74" s="33">
        <v>0</v>
      </c>
      <c r="H74" s="33">
        <v>0</v>
      </c>
      <c r="I74" s="33">
        <f>Savings189211237250[[#This Row],[Projected 
cost]]-Savings189211237250[[#This Row],[Actual 
cost]]</f>
        <v>0</v>
      </c>
    </row>
    <row r="75" spans="1:9" ht="18.45" x14ac:dyDescent="0.45">
      <c r="A75" s="34" t="s">
        <v>64</v>
      </c>
      <c r="B75" s="35">
        <f>SUM(Food191212238251[Projected 
cost])</f>
        <v>0</v>
      </c>
      <c r="C75" s="35">
        <f>SUM(Food191212238251[Actual 
cost])</f>
        <v>0</v>
      </c>
      <c r="D75" s="36">
        <f>SUBTOTAL(109,Food191212238251[Difference])</f>
        <v>0</v>
      </c>
      <c r="E75" s="28"/>
      <c r="F75" s="34" t="s">
        <v>64</v>
      </c>
      <c r="G75" s="35">
        <f>SUM(Savings189211237250[Projected 
cost])</f>
        <v>0</v>
      </c>
      <c r="H75" s="35">
        <f>SUM(Savings189211237250[Actual 
cost])</f>
        <v>0</v>
      </c>
      <c r="I75" s="36">
        <f>SUBTOTAL(109,Savings189211237250[Difference])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Pets195214240253[[#This Row],[Projected 
cost]]-Pets195214240253[[#This Row],[Actual 
cost]]</f>
        <v>0</v>
      </c>
      <c r="E79" s="28"/>
      <c r="F79" s="32" t="s">
        <v>87</v>
      </c>
      <c r="G79" s="33">
        <v>0</v>
      </c>
      <c r="H79" s="33">
        <v>0</v>
      </c>
      <c r="I79" s="33">
        <f>Gifts193213239252[[#This Row],[Projected 
cost]]-Gifts193213239252[[#This Row],[Actual 
cost]]</f>
        <v>0</v>
      </c>
    </row>
    <row r="80" spans="1:9" ht="15.9" x14ac:dyDescent="0.45">
      <c r="A80" s="32" t="s">
        <v>88</v>
      </c>
      <c r="B80" s="33">
        <v>0</v>
      </c>
      <c r="C80" s="33">
        <v>0</v>
      </c>
      <c r="D80" s="33">
        <f>Pets195214240253[[#This Row],[Projected 
cost]]-Pets195214240253[[#This Row],[Actual 
cost]]</f>
        <v>0</v>
      </c>
      <c r="E80" s="28"/>
      <c r="F80" s="32" t="s">
        <v>89</v>
      </c>
      <c r="G80" s="33">
        <v>0</v>
      </c>
      <c r="H80" s="33">
        <v>0</v>
      </c>
      <c r="I80" s="33">
        <f>Gifts193213239252[[#This Row],[Projected 
cost]]-Gifts193213239252[[#This Row],[Actual 
cost]]</f>
        <v>0</v>
      </c>
    </row>
    <row r="81" spans="1:10" ht="15.9" x14ac:dyDescent="0.45">
      <c r="A81" s="32" t="s">
        <v>90</v>
      </c>
      <c r="B81" s="33">
        <v>0</v>
      </c>
      <c r="C81" s="33">
        <v>0</v>
      </c>
      <c r="D81" s="33">
        <f>Pets195214240253[[#This Row],[Projected 
cost]]-Pets195214240253[[#This Row],[Actual 
cost]]</f>
        <v>0</v>
      </c>
      <c r="E81" s="28"/>
      <c r="F81" s="32" t="s">
        <v>91</v>
      </c>
      <c r="G81" s="33">
        <v>0</v>
      </c>
      <c r="H81" s="33">
        <v>0</v>
      </c>
      <c r="I81" s="33">
        <f>Gifts193213239252[[#This Row],[Projected 
cost]]-Gifts193213239252[[#This Row],[Actual 
cost]]</f>
        <v>0</v>
      </c>
    </row>
    <row r="82" spans="1:10" ht="18.45" x14ac:dyDescent="0.45">
      <c r="A82" s="32" t="s">
        <v>92</v>
      </c>
      <c r="B82" s="33">
        <v>0</v>
      </c>
      <c r="C82" s="33">
        <v>0</v>
      </c>
      <c r="D82" s="33">
        <f>Pets195214240253[[#This Row],[Projected 
cost]]-Pets195214240253[[#This Row],[Actual 
cost]]</f>
        <v>0</v>
      </c>
      <c r="E82" s="28"/>
      <c r="F82" s="34" t="s">
        <v>64</v>
      </c>
      <c r="G82" s="35">
        <f>SUM(Gifts193213239252[Projected 
cost])</f>
        <v>0</v>
      </c>
      <c r="H82" s="35">
        <f>SUM(Gifts193213239252[Actual 
cost])</f>
        <v>0</v>
      </c>
      <c r="I82" s="36">
        <f>SUBTOTAL(109,Gifts193213239252[Difference])</f>
        <v>0</v>
      </c>
    </row>
    <row r="83" spans="1:10" ht="18.45" x14ac:dyDescent="0.45">
      <c r="A83" s="32" t="s">
        <v>61</v>
      </c>
      <c r="B83" s="33">
        <v>0</v>
      </c>
      <c r="C83" s="33">
        <v>0</v>
      </c>
      <c r="D83" s="33">
        <f>Pets195214240253[[#This Row],[Projected 
cost]]-Pets195214240253[[#This Row],[Actual 
cost]]</f>
        <v>0</v>
      </c>
      <c r="E83" s="28"/>
      <c r="F83" s="39"/>
      <c r="G83" s="46"/>
      <c r="H83" s="46"/>
      <c r="I83" s="33"/>
    </row>
    <row r="84" spans="1:10" ht="18.45" x14ac:dyDescent="0.45">
      <c r="A84" s="34" t="s">
        <v>64</v>
      </c>
      <c r="B84" s="51">
        <f>SUM(Pets195214240253[Projected 
cost])</f>
        <v>0</v>
      </c>
      <c r="C84" s="51">
        <f>SUM(Pets195214240253[Actual 
cost])</f>
        <v>0</v>
      </c>
      <c r="D84" s="51">
        <f>SUBTOTAL(109,Pets195214240253[Difference])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PersonalCare197215241254[[#This Row],[Projected 
cost]]-PersonalCare197215241254[[#This Row],[Actual 
cost]]</f>
        <v>0</v>
      </c>
      <c r="E88" s="28"/>
      <c r="F88" s="32" t="s">
        <v>87</v>
      </c>
      <c r="G88" s="33">
        <v>0</v>
      </c>
      <c r="H88" s="33">
        <v>0</v>
      </c>
      <c r="I88" s="33">
        <f>Legal198216242255[[#This Row],[Projected 
cost]]-Legal198216242255[[#This Row],[Actual 
cost]]</f>
        <v>0</v>
      </c>
    </row>
    <row r="89" spans="1:10" ht="15.9" x14ac:dyDescent="0.45">
      <c r="A89" s="32" t="s">
        <v>94</v>
      </c>
      <c r="B89" s="33">
        <v>0</v>
      </c>
      <c r="C89" s="33">
        <v>0</v>
      </c>
      <c r="D89" s="33">
        <f>PersonalCare197215241254[[#This Row],[Projected 
cost]]-PersonalCare197215241254[[#This Row],[Actual 
cost]]</f>
        <v>0</v>
      </c>
      <c r="E89" s="28"/>
      <c r="F89" s="32" t="s">
        <v>89</v>
      </c>
      <c r="G89" s="33">
        <v>0</v>
      </c>
      <c r="H89" s="33">
        <v>0</v>
      </c>
      <c r="I89" s="33">
        <f>Legal198216242255[[#This Row],[Projected 
cost]]-Legal198216242255[[#This Row],[Actual 
cost]]</f>
        <v>0</v>
      </c>
    </row>
    <row r="90" spans="1:10" ht="15.9" x14ac:dyDescent="0.45">
      <c r="A90" s="32" t="s">
        <v>95</v>
      </c>
      <c r="B90" s="33">
        <v>0</v>
      </c>
      <c r="C90" s="33">
        <v>0</v>
      </c>
      <c r="D90" s="33">
        <f>PersonalCare197215241254[[#This Row],[Projected 
cost]]-PersonalCare197215241254[[#This Row],[Actual 
cost]]</f>
        <v>0</v>
      </c>
      <c r="E90" s="28"/>
      <c r="F90" s="32" t="s">
        <v>91</v>
      </c>
      <c r="G90" s="33">
        <v>0</v>
      </c>
      <c r="H90" s="33">
        <v>0</v>
      </c>
      <c r="I90" s="33">
        <f>Legal198216242255[[#This Row],[Projected 
cost]]-Legal198216242255[[#This Row],[Actual 
cost]]</f>
        <v>0</v>
      </c>
    </row>
    <row r="91" spans="1:10" ht="15.9" x14ac:dyDescent="0.45">
      <c r="A91" s="32" t="s">
        <v>96</v>
      </c>
      <c r="B91" s="33">
        <v>0</v>
      </c>
      <c r="C91" s="33">
        <v>0</v>
      </c>
      <c r="D91" s="33">
        <f>PersonalCare197215241254[[#This Row],[Projected 
cost]]-PersonalCare197215241254[[#This Row],[Actual 
cost]]</f>
        <v>0</v>
      </c>
      <c r="E91" s="28"/>
      <c r="F91" s="32" t="s">
        <v>97</v>
      </c>
      <c r="G91" s="33">
        <v>0</v>
      </c>
      <c r="H91" s="33">
        <v>0</v>
      </c>
      <c r="I91" s="33">
        <f>Legal198216242255[[#This Row],[Projected 
cost]]-Legal198216242255[[#This Row],[Actual 
cost]]</f>
        <v>0</v>
      </c>
    </row>
    <row r="92" spans="1:10" ht="18.45" x14ac:dyDescent="0.45">
      <c r="A92" s="32" t="s">
        <v>98</v>
      </c>
      <c r="B92" s="33">
        <v>0</v>
      </c>
      <c r="C92" s="33">
        <v>0</v>
      </c>
      <c r="D92" s="33">
        <f>PersonalCare197215241254[[#This Row],[Projected 
cost]]-PersonalCare197215241254[[#This Row],[Actual 
cost]]</f>
        <v>0</v>
      </c>
      <c r="E92" s="28"/>
      <c r="F92" s="34" t="s">
        <v>64</v>
      </c>
      <c r="G92" s="35">
        <f>SUM(Legal198216242255[Projected 
cost])</f>
        <v>0</v>
      </c>
      <c r="H92" s="35">
        <f>SUM(Legal198216242255[Actual 
cost])</f>
        <v>0</v>
      </c>
      <c r="I92" s="36">
        <f>SUBTOTAL(109,Legal198216242255[Difference])</f>
        <v>0</v>
      </c>
    </row>
    <row r="93" spans="1:10" ht="15.9" x14ac:dyDescent="0.45">
      <c r="A93" s="32" t="s">
        <v>99</v>
      </c>
      <c r="B93" s="33">
        <v>0</v>
      </c>
      <c r="C93" s="33">
        <v>0</v>
      </c>
      <c r="D93" s="33">
        <f>PersonalCare197215241254[[#This Row],[Projected 
cost]]-PersonalCare197215241254[[#This Row],[Actual 
cost]]</f>
        <v>0</v>
      </c>
      <c r="E93" s="28"/>
      <c r="F93" s="38"/>
      <c r="G93" s="38"/>
      <c r="H93" s="38"/>
      <c r="I93" s="38"/>
    </row>
    <row r="94" spans="1:10" ht="15.9" customHeight="1" x14ac:dyDescent="0.45">
      <c r="A94" s="32" t="s">
        <v>61</v>
      </c>
      <c r="B94" s="33">
        <v>0</v>
      </c>
      <c r="C94" s="33">
        <v>0</v>
      </c>
      <c r="D94" s="33">
        <f>PersonalCare197215241254[[#This Row],[Projected 
cost]]-PersonalCare197215241254[[#This Row],[Actual 
cost]]</f>
        <v>0</v>
      </c>
      <c r="E94" s="28"/>
      <c r="F94" s="67" t="s">
        <v>121</v>
      </c>
      <c r="G94" s="67"/>
      <c r="H94" s="67"/>
      <c r="I94" s="68">
        <f>J59</f>
        <v>0</v>
      </c>
      <c r="J94" s="69" t="s">
        <v>123</v>
      </c>
    </row>
    <row r="95" spans="1:10" ht="18.45" x14ac:dyDescent="0.45">
      <c r="A95" s="34" t="s">
        <v>64</v>
      </c>
      <c r="B95" s="35">
        <f>SUM(PersonalCare197215241254[Projected 
cost])</f>
        <v>0</v>
      </c>
      <c r="C95" s="35">
        <f>SUM(PersonalCare197215241254[Actual 
cost])</f>
        <v>0</v>
      </c>
      <c r="D95" s="36">
        <f>SUBTOTAL(109,PersonalCare197215241254[Difference])</f>
        <v>0</v>
      </c>
      <c r="E95" s="28"/>
      <c r="F95" s="67"/>
      <c r="G95" s="67"/>
      <c r="H95" s="67"/>
      <c r="I95" s="68"/>
      <c r="J95" s="69"/>
    </row>
    <row r="96" spans="1:10" ht="15.9" x14ac:dyDescent="0.45">
      <c r="A96" s="54"/>
      <c r="B96" s="54"/>
      <c r="C96" s="54"/>
      <c r="D96" s="54"/>
      <c r="E96" s="28"/>
      <c r="F96" s="76" t="s">
        <v>100</v>
      </c>
      <c r="G96" s="76"/>
      <c r="H96" s="76"/>
      <c r="I96" s="78">
        <f>SUBTOTAL(109,Housing179205231244[Projected
cost],Transportation183208234247[Projected 
cost],Insurance185209235248[Projected
cost],Food191212238251[Projected 
cost],Pets195214240253[Projected 
cost],PersonalCare197215241254[Projected 
cost],Entertainment180206232245[Projected 
cost],Loans182207233246[Projected 
cost],Taxes187210236249[Projected 
cost],Savings189211237250[Projected 
cost],Gifts193213239252[Projected 
cost],Legal198216242255[Projected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SUBTOTAL(109,Housing179205231244[Actual 
cost],Transportation183208234247[Actual 
cost],Insurance185209235248[Actual 
cost],Food191212238251[Actual 
cost],Pets195214240253[Actual 
cost],PersonalCare197215241254[Actual 
cost],Entertainment180206232245[Actual 
cost],Loans182207233246[Actual 
cost],Taxes187210236249[Actual 
cost],Savings189211237250[Actual 
cost],Gifts193213239252[Actual 
cost],Legal198216242255[Actual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BEE33-60CC-41B5-98B8-22975ECD265B}">
  <sheetPr>
    <tabColor rgb="FF92D050"/>
  </sheetPr>
  <dimension ref="B1:T65"/>
  <sheetViews>
    <sheetView zoomScale="62" workbookViewId="0">
      <selection activeCell="F46" sqref="F4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'May Budget'!J55</f>
        <v>0</v>
      </c>
      <c r="D4" s="42">
        <f>'May Budget'!H55</f>
        <v>0</v>
      </c>
      <c r="E4" s="59">
        <v>0</v>
      </c>
      <c r="F4" s="3" t="s">
        <v>107</v>
      </c>
      <c r="G4" s="60" t="s">
        <v>109</v>
      </c>
      <c r="H4" s="7"/>
      <c r="I4" s="7"/>
      <c r="J4" s="7"/>
      <c r="K4" s="7"/>
      <c r="L4" s="7"/>
      <c r="M4" s="7"/>
      <c r="N4" s="7"/>
      <c r="O4" s="7"/>
      <c r="P4" s="2"/>
      <c r="Q4" s="2"/>
      <c r="R4" s="2"/>
      <c r="S4" s="2"/>
      <c r="T4" s="2"/>
    </row>
    <row r="5" spans="2:20" ht="14.6" x14ac:dyDescent="0.4">
      <c r="B5" s="10"/>
      <c r="C5" s="57">
        <f>'May Budget'!J56</f>
        <v>0</v>
      </c>
      <c r="D5" s="42">
        <f>'May Budget'!H56</f>
        <v>0</v>
      </c>
      <c r="E5" s="59"/>
      <c r="F5" s="3" t="s">
        <v>108</v>
      </c>
    </row>
    <row r="6" spans="2:20" ht="14.6" x14ac:dyDescent="0.4">
      <c r="B6" s="10"/>
      <c r="C6" s="57">
        <f>'May Budget'!J57</f>
        <v>0</v>
      </c>
      <c r="D6" s="42">
        <f>'May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'May Budget'!J54</f>
        <v>0</v>
      </c>
      <c r="E45" s="9">
        <v>0</v>
      </c>
      <c r="F45" s="10">
        <f>'May Budget'!H54</f>
        <v>0</v>
      </c>
      <c r="G45" s="3" t="s">
        <v>112</v>
      </c>
    </row>
    <row r="46" spans="2:7" ht="15" customHeight="1" x14ac:dyDescent="0.4">
      <c r="C46" t="s">
        <v>67</v>
      </c>
      <c r="D46" s="10">
        <f>'May Budget'!J53</f>
        <v>0</v>
      </c>
      <c r="F46" s="10">
        <f>'May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D1E15D9B-551A-4C0A-BC53-98917B2734DE}"/>
    <hyperlink ref="F4" r:id="rId2" xr:uid="{FD444909-07F9-46DE-B467-7B4754D9CC43}"/>
    <hyperlink ref="F5" r:id="rId3" xr:uid="{09A97AA0-5F5B-43FA-B1BD-A9A8F6206A58}"/>
  </hyperlinks>
  <pageMargins left="0.7" right="0.7" top="0.75" bottom="0.75" header="0.3" footer="0.3"/>
  <drawing r:id="rId4"/>
  <tableParts count="4">
    <tablePart r:id="rId5"/>
    <tablePart r:id="rId6"/>
    <tablePart r:id="rId7"/>
    <tablePart r:id="rId8"/>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A3E24-1C85-4FEB-A821-04C3740EF6E0}">
  <sheetPr>
    <tabColor rgb="FF7030A0"/>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Entertainment180206219[[#This Row],[Projected 
cost]]-Entertainment180206219[[#This Row],[Actual 
cost]]</f>
        <v>0</v>
      </c>
    </row>
    <row r="40" spans="1:9" ht="15.9" x14ac:dyDescent="0.45">
      <c r="A40" s="31" t="s">
        <v>50</v>
      </c>
      <c r="B40" s="4">
        <v>0</v>
      </c>
      <c r="C40" s="4">
        <v>0</v>
      </c>
      <c r="D40" s="4"/>
      <c r="E40" s="28"/>
      <c r="F40" s="32" t="s">
        <v>51</v>
      </c>
      <c r="G40" s="33">
        <v>0</v>
      </c>
      <c r="H40" s="33">
        <v>0</v>
      </c>
      <c r="I40" s="33">
        <f>Entertainment180206219[[#This Row],[Projected 
cost]]-Entertainment180206219[[#This Row],[Actual 
cost]]</f>
        <v>0</v>
      </c>
    </row>
    <row r="41" spans="1:9" ht="15.9" x14ac:dyDescent="0.45">
      <c r="A41" s="31" t="s">
        <v>52</v>
      </c>
      <c r="B41" s="4">
        <v>0</v>
      </c>
      <c r="C41" s="4">
        <v>0</v>
      </c>
      <c r="D41" s="4"/>
      <c r="E41" s="28"/>
      <c r="F41" s="32" t="s">
        <v>53</v>
      </c>
      <c r="G41" s="33">
        <v>0</v>
      </c>
      <c r="H41" s="33">
        <v>0</v>
      </c>
      <c r="I41" s="33">
        <f>Entertainment180206219[[#This Row],[Projected 
cost]]-Entertainment180206219[[#This Row],[Actual 
cost]]</f>
        <v>0</v>
      </c>
    </row>
    <row r="42" spans="1:9" ht="15.9" x14ac:dyDescent="0.45">
      <c r="A42" s="31" t="s">
        <v>54</v>
      </c>
      <c r="B42" s="4">
        <v>0</v>
      </c>
      <c r="C42" s="4">
        <v>0</v>
      </c>
      <c r="D42" s="4"/>
      <c r="E42" s="28"/>
      <c r="F42" s="32" t="s">
        <v>55</v>
      </c>
      <c r="G42" s="33">
        <v>0</v>
      </c>
      <c r="H42" s="33">
        <v>0</v>
      </c>
      <c r="I42" s="33">
        <f>Entertainment180206219[[#This Row],[Projected 
cost]]-Entertainment180206219[[#This Row],[Actual 
cost]]</f>
        <v>0</v>
      </c>
    </row>
    <row r="43" spans="1:9" ht="15.9" x14ac:dyDescent="0.45">
      <c r="A43" s="31" t="s">
        <v>56</v>
      </c>
      <c r="B43" s="4">
        <v>0</v>
      </c>
      <c r="C43" s="4">
        <v>0</v>
      </c>
      <c r="D43" s="4"/>
      <c r="E43" s="28"/>
      <c r="F43" s="32" t="s">
        <v>57</v>
      </c>
      <c r="G43" s="33">
        <v>0</v>
      </c>
      <c r="H43" s="33">
        <v>0</v>
      </c>
      <c r="I43" s="33">
        <f>Entertainment180206219[[#This Row],[Projected 
cost]]-Entertainment180206219[[#This Row],[Actual 
cost]]</f>
        <v>0</v>
      </c>
    </row>
    <row r="44" spans="1:9" ht="15.9" x14ac:dyDescent="0.45">
      <c r="A44" s="31" t="s">
        <v>58</v>
      </c>
      <c r="B44" s="4">
        <v>0</v>
      </c>
      <c r="C44" s="4">
        <v>0</v>
      </c>
      <c r="D44" s="4"/>
      <c r="E44" s="28"/>
      <c r="F44" s="32" t="s">
        <v>59</v>
      </c>
      <c r="G44" s="33">
        <v>0</v>
      </c>
      <c r="H44" s="33">
        <v>0</v>
      </c>
      <c r="I44" s="33">
        <f>Entertainment180206219[[#This Row],[Projected 
cost]]-Entertainment180206219[[#This Row],[Actual 
cost]]</f>
        <v>0</v>
      </c>
    </row>
    <row r="45" spans="1:9" ht="15.9" x14ac:dyDescent="0.45">
      <c r="A45" s="31" t="s">
        <v>60</v>
      </c>
      <c r="B45" s="4">
        <v>0</v>
      </c>
      <c r="C45" s="4">
        <v>0</v>
      </c>
      <c r="D45" s="4"/>
      <c r="E45" s="28"/>
      <c r="F45" s="32" t="s">
        <v>61</v>
      </c>
      <c r="G45" s="33">
        <v>0</v>
      </c>
      <c r="H45" s="33">
        <v>0</v>
      </c>
      <c r="I45" s="33">
        <f>Entertainment180206219[[#This Row],[Projected 
cost]]-Entertainment180206219[[#This Row],[Actual 
cost]]</f>
        <v>0</v>
      </c>
    </row>
    <row r="46" spans="1:9" ht="15.9" x14ac:dyDescent="0.45">
      <c r="A46" s="31" t="s">
        <v>62</v>
      </c>
      <c r="B46" s="4">
        <v>0</v>
      </c>
      <c r="C46" s="4">
        <v>0</v>
      </c>
      <c r="D46" s="4"/>
      <c r="E46" s="28"/>
      <c r="F46" s="32" t="s">
        <v>61</v>
      </c>
      <c r="G46" s="33">
        <v>0</v>
      </c>
      <c r="H46" s="33">
        <v>0</v>
      </c>
      <c r="I46" s="33">
        <f>Entertainment180206219[[#This Row],[Projected 
cost]]-Entertainment180206219[[#This Row],[Actual 
cost]]</f>
        <v>0</v>
      </c>
    </row>
    <row r="47" spans="1:9" ht="15.9" x14ac:dyDescent="0.45">
      <c r="A47" s="31" t="s">
        <v>63</v>
      </c>
      <c r="B47" s="4">
        <v>0</v>
      </c>
      <c r="C47" s="4">
        <v>0</v>
      </c>
      <c r="D47" s="4"/>
      <c r="E47" s="28"/>
      <c r="F47" s="32" t="s">
        <v>61</v>
      </c>
      <c r="G47" s="33">
        <v>0</v>
      </c>
      <c r="H47" s="33">
        <v>0</v>
      </c>
      <c r="I47" s="33">
        <f>Entertainment180206219[[#This Row],[Projected 
cost]]-Entertainment180206219[[#This Row],[Actual 
cost]]</f>
        <v>0</v>
      </c>
    </row>
    <row r="48" spans="1:9" ht="18.45" x14ac:dyDescent="0.45">
      <c r="A48" s="31" t="s">
        <v>61</v>
      </c>
      <c r="B48" s="4">
        <v>0</v>
      </c>
      <c r="C48" s="4">
        <v>0</v>
      </c>
      <c r="D48" s="4"/>
      <c r="E48" s="28"/>
      <c r="F48" s="34" t="s">
        <v>64</v>
      </c>
      <c r="G48" s="35">
        <f>SUM(Entertainment180206219[Projected 
cost])</f>
        <v>0</v>
      </c>
      <c r="H48" s="35">
        <f>SUM(Entertainment180206219[Actual 
cost])</f>
        <v>0</v>
      </c>
      <c r="I48" s="36">
        <f>SUBTOTAL(109,Entertainment180206219[Difference])</f>
        <v>0</v>
      </c>
    </row>
    <row r="49" spans="1:10" ht="18.45" x14ac:dyDescent="0.45">
      <c r="A49" s="37" t="s">
        <v>64</v>
      </c>
      <c r="B49" s="4">
        <f>SUM(Housing179205218[Projected
cost])</f>
        <v>0</v>
      </c>
      <c r="C49" s="4">
        <f>SUM(Housing179205218[Actual 
cost])</f>
        <v>0</v>
      </c>
      <c r="D49" s="4">
        <f>SUBTOTAL(109,Housing179205218[Difference])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Transportation183208221[[#This Row],[Projected 
cost]]-Transportation183208221[[#This Row],[Actual 
cost]]</f>
        <v>0</v>
      </c>
      <c r="E53" s="28"/>
      <c r="F53" s="32" t="s">
        <v>67</v>
      </c>
      <c r="G53" s="33">
        <v>0</v>
      </c>
      <c r="H53" s="33">
        <v>0</v>
      </c>
      <c r="I53" s="33">
        <f>Loans182207220[[#This Row],[Projected 
cost]]-Loans182207220[[#This Row],[Actual 
cost]]</f>
        <v>0</v>
      </c>
      <c r="J53" s="42">
        <v>0</v>
      </c>
    </row>
    <row r="54" spans="1:10" ht="15.9" x14ac:dyDescent="0.45">
      <c r="A54" s="32" t="s">
        <v>68</v>
      </c>
      <c r="B54" s="33">
        <v>0</v>
      </c>
      <c r="C54" s="33">
        <v>0</v>
      </c>
      <c r="D54" s="33">
        <f>Transportation183208221[[#This Row],[Projected 
cost]]-Transportation183208221[[#This Row],[Actual 
cost]]</f>
        <v>0</v>
      </c>
      <c r="E54" s="28"/>
      <c r="F54" s="32" t="s">
        <v>69</v>
      </c>
      <c r="G54" s="33">
        <v>0</v>
      </c>
      <c r="H54" s="33">
        <v>0</v>
      </c>
      <c r="I54" s="33">
        <f>Loans182207220[[#This Row],[Projected 
cost]]-Loans182207220[[#This Row],[Actual 
cost]]</f>
        <v>0</v>
      </c>
      <c r="J54" s="42">
        <v>0</v>
      </c>
    </row>
    <row r="55" spans="1:10" ht="15.9" x14ac:dyDescent="0.45">
      <c r="A55" s="32" t="s">
        <v>70</v>
      </c>
      <c r="B55" s="33">
        <v>0</v>
      </c>
      <c r="C55" s="33">
        <v>0</v>
      </c>
      <c r="D55" s="33">
        <f>Transportation183208221[[#This Row],[Projected 
cost]]-Transportation183208221[[#This Row],[Actual 
cost]]</f>
        <v>0</v>
      </c>
      <c r="E55" s="28"/>
      <c r="F55" s="32" t="s">
        <v>71</v>
      </c>
      <c r="G55" s="33">
        <v>0</v>
      </c>
      <c r="H55" s="33">
        <v>0</v>
      </c>
      <c r="I55" s="33">
        <f>Loans182207220[[#This Row],[Projected 
cost]]-Loans182207220[[#This Row],[Actual 
cost]]</f>
        <v>0</v>
      </c>
      <c r="J55" s="42">
        <v>0</v>
      </c>
    </row>
    <row r="56" spans="1:10" ht="15.9" x14ac:dyDescent="0.45">
      <c r="A56" s="32" t="s">
        <v>72</v>
      </c>
      <c r="B56" s="33">
        <v>0</v>
      </c>
      <c r="C56" s="33">
        <v>0</v>
      </c>
      <c r="D56" s="33">
        <f>Transportation183208221[[#This Row],[Projected 
cost]]-Transportation183208221[[#This Row],[Actual 
cost]]</f>
        <v>0</v>
      </c>
      <c r="E56" s="28"/>
      <c r="F56" s="32" t="s">
        <v>71</v>
      </c>
      <c r="G56" s="33">
        <v>0</v>
      </c>
      <c r="H56" s="33">
        <v>0</v>
      </c>
      <c r="I56" s="33">
        <f>Loans182207220[[#This Row],[Projected 
cost]]-Loans182207220[[#This Row],[Actual 
cost]]</f>
        <v>0</v>
      </c>
      <c r="J56" s="42">
        <v>0</v>
      </c>
    </row>
    <row r="57" spans="1:10" ht="15.9" x14ac:dyDescent="0.45">
      <c r="A57" s="32" t="s">
        <v>73</v>
      </c>
      <c r="B57" s="33">
        <v>0</v>
      </c>
      <c r="C57" s="33">
        <v>0</v>
      </c>
      <c r="D57" s="33">
        <f>Transportation183208221[[#This Row],[Projected 
cost]]-Transportation183208221[[#This Row],[Actual 
cost]]</f>
        <v>0</v>
      </c>
      <c r="E57" s="28"/>
      <c r="F57" s="32" t="s">
        <v>71</v>
      </c>
      <c r="G57" s="33">
        <v>0</v>
      </c>
      <c r="H57" s="33">
        <v>0</v>
      </c>
      <c r="I57" s="33">
        <f>Loans182207220[[#This Row],[Projected 
cost]]-Loans182207220[[#This Row],[Actual 
cost]]</f>
        <v>0</v>
      </c>
      <c r="J57" s="42">
        <v>0</v>
      </c>
    </row>
    <row r="58" spans="1:10" ht="15.9" x14ac:dyDescent="0.45">
      <c r="A58" s="32" t="s">
        <v>74</v>
      </c>
      <c r="B58" s="33">
        <v>0</v>
      </c>
      <c r="C58" s="33">
        <v>0</v>
      </c>
      <c r="D58" s="33">
        <f>Transportation183208221[[#This Row],[Projected 
cost]]-Transportation183208221[[#This Row],[Actual 
cost]]</f>
        <v>0</v>
      </c>
      <c r="E58" s="28"/>
      <c r="F58" s="32" t="s">
        <v>61</v>
      </c>
      <c r="G58" s="33">
        <v>0</v>
      </c>
      <c r="H58" s="33">
        <v>0</v>
      </c>
      <c r="I58" s="33">
        <f>Loans182207220[[#This Row],[Projected 
cost]]-Loans182207220[[#This Row],[Actual 
cost]]</f>
        <v>0</v>
      </c>
      <c r="J58" s="42">
        <v>0</v>
      </c>
    </row>
    <row r="59" spans="1:10" ht="18.45" x14ac:dyDescent="0.45">
      <c r="A59" s="32" t="s">
        <v>61</v>
      </c>
      <c r="B59" s="33">
        <v>0</v>
      </c>
      <c r="C59" s="33">
        <v>0</v>
      </c>
      <c r="D59" s="33">
        <f>Transportation183208221[[#This Row],[Projected 
cost]]-Transportation183208221[[#This Row],[Actual 
cost]]</f>
        <v>0</v>
      </c>
      <c r="E59" s="28"/>
      <c r="F59" s="34" t="s">
        <v>64</v>
      </c>
      <c r="G59" s="35">
        <f>SUM(Loans182207220[Projected 
cost])</f>
        <v>0</v>
      </c>
      <c r="H59" s="35">
        <f>SUM(Loans182207220[Actual 
cost])</f>
        <v>0</v>
      </c>
      <c r="I59" s="36">
        <f>SUBTOTAL(109,Loans182207220[Difference])</f>
        <v>0</v>
      </c>
      <c r="J59" s="43">
        <f>SUM(J53:J58)</f>
        <v>0</v>
      </c>
    </row>
    <row r="60" spans="1:10" ht="18.45" x14ac:dyDescent="0.45">
      <c r="A60" s="34" t="s">
        <v>64</v>
      </c>
      <c r="B60" s="35">
        <f>SUM(Transportation183208221[Projected 
cost])</f>
        <v>0</v>
      </c>
      <c r="C60" s="35">
        <f>SUM(Transportation183208221[Actual 
cost])</f>
        <v>0</v>
      </c>
      <c r="D60" s="36">
        <f>SUBTOTAL(109,Transportation183208221[Difference])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Insurance185209222[[#This Row],[Projected
cost]]-Insurance185209222[[#This Row],[Actual 
cost]]</f>
        <v>0</v>
      </c>
      <c r="E64" s="28"/>
      <c r="F64" s="32" t="s">
        <v>76</v>
      </c>
      <c r="G64" s="33">
        <v>0</v>
      </c>
      <c r="H64" s="33">
        <v>0</v>
      </c>
      <c r="I64" s="33">
        <f>Taxes187210223[[#This Row],[Projected 
cost]]-Taxes187210223[[#This Row],[Actual 
cost]]</f>
        <v>0</v>
      </c>
    </row>
    <row r="65" spans="1:9" ht="15.9" x14ac:dyDescent="0.45">
      <c r="A65" s="32" t="s">
        <v>77</v>
      </c>
      <c r="B65" s="33">
        <v>0</v>
      </c>
      <c r="C65" s="33">
        <v>0</v>
      </c>
      <c r="D65" s="33">
        <f>Insurance185209222[[#This Row],[Projected
cost]]-Insurance185209222[[#This Row],[Actual 
cost]]</f>
        <v>0</v>
      </c>
      <c r="E65" s="28"/>
      <c r="F65" s="32" t="s">
        <v>78</v>
      </c>
      <c r="G65" s="33">
        <v>0</v>
      </c>
      <c r="H65" s="33">
        <v>0</v>
      </c>
      <c r="I65" s="33">
        <f>Taxes187210223[[#This Row],[Projected 
cost]]-Taxes187210223[[#This Row],[Actual 
cost]]</f>
        <v>0</v>
      </c>
    </row>
    <row r="66" spans="1:9" ht="15.9" x14ac:dyDescent="0.45">
      <c r="A66" s="32" t="s">
        <v>79</v>
      </c>
      <c r="B66" s="33">
        <v>0</v>
      </c>
      <c r="C66" s="33">
        <v>0</v>
      </c>
      <c r="D66" s="33">
        <f>Insurance185209222[[#This Row],[Projected
cost]]-Insurance185209222[[#This Row],[Actual 
cost]]</f>
        <v>0</v>
      </c>
      <c r="E66" s="28"/>
      <c r="F66" s="32" t="s">
        <v>80</v>
      </c>
      <c r="G66" s="33">
        <v>0</v>
      </c>
      <c r="H66" s="33">
        <v>0</v>
      </c>
      <c r="I66" s="33">
        <f>Taxes187210223[[#This Row],[Projected 
cost]]-Taxes187210223[[#This Row],[Actual 
cost]]</f>
        <v>0</v>
      </c>
    </row>
    <row r="67" spans="1:9" ht="15.9" x14ac:dyDescent="0.45">
      <c r="A67" s="32" t="s">
        <v>61</v>
      </c>
      <c r="B67" s="33">
        <v>0</v>
      </c>
      <c r="C67" s="33">
        <v>0</v>
      </c>
      <c r="D67" s="33">
        <f>Insurance185209222[[#This Row],[Projected
cost]]-Insurance185209222[[#This Row],[Actual 
cost]]</f>
        <v>0</v>
      </c>
      <c r="E67" s="28"/>
      <c r="F67" s="32" t="s">
        <v>61</v>
      </c>
      <c r="G67" s="33">
        <v>0</v>
      </c>
      <c r="H67" s="33">
        <v>0</v>
      </c>
      <c r="I67" s="33">
        <f>Taxes187210223[[#This Row],[Projected 
cost]]-Taxes187210223[[#This Row],[Actual 
cost]]</f>
        <v>0</v>
      </c>
    </row>
    <row r="68" spans="1:9" ht="18.45" x14ac:dyDescent="0.45">
      <c r="A68" s="34" t="s">
        <v>64</v>
      </c>
      <c r="B68" s="35" t="s">
        <v>122</v>
      </c>
      <c r="C68" s="35">
        <f>SUM(Insurance185209222[Actual 
cost])</f>
        <v>0</v>
      </c>
      <c r="D68" s="36">
        <f>SUBTOTAL(109,Insurance185209222[Difference])</f>
        <v>0</v>
      </c>
      <c r="E68" s="28"/>
      <c r="F68" s="34" t="s">
        <v>64</v>
      </c>
      <c r="G68" s="35">
        <f>SUM(Taxes187210223[Projected 
cost])</f>
        <v>0</v>
      </c>
      <c r="H68" s="35">
        <f>SUM(Taxes187210223[Actual 
cost])</f>
        <v>0</v>
      </c>
      <c r="I68" s="36">
        <f>SUBTOTAL(109,Taxes187210223[Difference])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Food191212225[[#This Row],[Projected 
cost]]-Food191212225[[#This Row],[Actual 
cost]]</f>
        <v>0</v>
      </c>
      <c r="E72" s="28"/>
      <c r="F72" s="32" t="s">
        <v>83</v>
      </c>
      <c r="G72" s="33">
        <v>0</v>
      </c>
      <c r="H72" s="33">
        <v>0</v>
      </c>
      <c r="I72" s="33">
        <f>Savings189211224[[#This Row],[Projected 
cost]]-Savings189211224[[#This Row],[Actual 
cost]]</f>
        <v>0</v>
      </c>
    </row>
    <row r="73" spans="1:9" ht="15.9" x14ac:dyDescent="0.45">
      <c r="A73" s="32" t="s">
        <v>84</v>
      </c>
      <c r="B73" s="33">
        <v>0</v>
      </c>
      <c r="C73" s="33">
        <v>0</v>
      </c>
      <c r="D73" s="33">
        <f>Food191212225[[#This Row],[Projected 
cost]]-Food191212225[[#This Row],[Actual 
cost]]</f>
        <v>0</v>
      </c>
      <c r="E73" s="28"/>
      <c r="F73" s="32" t="s">
        <v>85</v>
      </c>
      <c r="G73" s="33">
        <v>0</v>
      </c>
      <c r="H73" s="33">
        <v>0</v>
      </c>
      <c r="I73" s="33">
        <f>Savings189211224[[#This Row],[Projected 
cost]]-Savings189211224[[#This Row],[Actual 
cost]]</f>
        <v>0</v>
      </c>
    </row>
    <row r="74" spans="1:9" ht="15.9" x14ac:dyDescent="0.45">
      <c r="A74" s="32" t="s">
        <v>61</v>
      </c>
      <c r="B74" s="33">
        <v>0</v>
      </c>
      <c r="C74" s="33">
        <v>0</v>
      </c>
      <c r="D74" s="33">
        <f>Food191212225[[#This Row],[Projected 
cost]]-Food191212225[[#This Row],[Actual 
cost]]</f>
        <v>0</v>
      </c>
      <c r="E74" s="28"/>
      <c r="F74" s="32" t="s">
        <v>61</v>
      </c>
      <c r="G74" s="33">
        <v>0</v>
      </c>
      <c r="H74" s="33">
        <v>0</v>
      </c>
      <c r="I74" s="33">
        <f>Savings189211224[[#This Row],[Projected 
cost]]-Savings189211224[[#This Row],[Actual 
cost]]</f>
        <v>0</v>
      </c>
    </row>
    <row r="75" spans="1:9" ht="18.45" x14ac:dyDescent="0.45">
      <c r="A75" s="34" t="s">
        <v>64</v>
      </c>
      <c r="B75" s="35">
        <f>SUM(Food191212225[Projected 
cost])</f>
        <v>0</v>
      </c>
      <c r="C75" s="35">
        <f>SUM(Food191212225[Actual 
cost])</f>
        <v>0</v>
      </c>
      <c r="D75" s="36">
        <f>SUBTOTAL(109,Food191212225[Difference])</f>
        <v>0</v>
      </c>
      <c r="E75" s="28"/>
      <c r="F75" s="34" t="s">
        <v>64</v>
      </c>
      <c r="G75" s="35">
        <f>SUM(Savings189211224[Projected 
cost])</f>
        <v>0</v>
      </c>
      <c r="H75" s="35">
        <f>SUM(Savings189211224[Actual 
cost])</f>
        <v>0</v>
      </c>
      <c r="I75" s="36">
        <f>SUBTOTAL(109,Savings189211224[Difference])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Pets195214227[[#This Row],[Projected 
cost]]-Pets195214227[[#This Row],[Actual 
cost]]</f>
        <v>0</v>
      </c>
      <c r="E79" s="28"/>
      <c r="F79" s="32" t="s">
        <v>87</v>
      </c>
      <c r="G79" s="33">
        <v>0</v>
      </c>
      <c r="H79" s="33">
        <v>0</v>
      </c>
      <c r="I79" s="33">
        <f>Gifts193213226[[#This Row],[Projected 
cost]]-Gifts193213226[[#This Row],[Actual 
cost]]</f>
        <v>0</v>
      </c>
    </row>
    <row r="80" spans="1:9" ht="15.9" x14ac:dyDescent="0.45">
      <c r="A80" s="32" t="s">
        <v>88</v>
      </c>
      <c r="B80" s="33">
        <v>0</v>
      </c>
      <c r="C80" s="33">
        <v>0</v>
      </c>
      <c r="D80" s="33">
        <f>Pets195214227[[#This Row],[Projected 
cost]]-Pets195214227[[#This Row],[Actual 
cost]]</f>
        <v>0</v>
      </c>
      <c r="E80" s="28"/>
      <c r="F80" s="32" t="s">
        <v>89</v>
      </c>
      <c r="G80" s="33">
        <v>0</v>
      </c>
      <c r="H80" s="33">
        <v>0</v>
      </c>
      <c r="I80" s="33">
        <f>Gifts193213226[[#This Row],[Projected 
cost]]-Gifts193213226[[#This Row],[Actual 
cost]]</f>
        <v>0</v>
      </c>
    </row>
    <row r="81" spans="1:10" ht="15.9" x14ac:dyDescent="0.45">
      <c r="A81" s="32" t="s">
        <v>90</v>
      </c>
      <c r="B81" s="33">
        <v>0</v>
      </c>
      <c r="C81" s="33">
        <v>0</v>
      </c>
      <c r="D81" s="33">
        <f>Pets195214227[[#This Row],[Projected 
cost]]-Pets195214227[[#This Row],[Actual 
cost]]</f>
        <v>0</v>
      </c>
      <c r="E81" s="28"/>
      <c r="F81" s="32" t="s">
        <v>91</v>
      </c>
      <c r="G81" s="33">
        <v>0</v>
      </c>
      <c r="H81" s="33">
        <v>0</v>
      </c>
      <c r="I81" s="33">
        <f>Gifts193213226[[#This Row],[Projected 
cost]]-Gifts193213226[[#This Row],[Actual 
cost]]</f>
        <v>0</v>
      </c>
    </row>
    <row r="82" spans="1:10" ht="18.45" x14ac:dyDescent="0.45">
      <c r="A82" s="32" t="s">
        <v>92</v>
      </c>
      <c r="B82" s="33">
        <v>0</v>
      </c>
      <c r="C82" s="33">
        <v>0</v>
      </c>
      <c r="D82" s="33">
        <f>Pets195214227[[#This Row],[Projected 
cost]]-Pets195214227[[#This Row],[Actual 
cost]]</f>
        <v>0</v>
      </c>
      <c r="E82" s="28"/>
      <c r="F82" s="34" t="s">
        <v>64</v>
      </c>
      <c r="G82" s="35">
        <f>SUM(Gifts193213226[Projected 
cost])</f>
        <v>0</v>
      </c>
      <c r="H82" s="35">
        <f>SUM(Gifts193213226[Actual 
cost])</f>
        <v>0</v>
      </c>
      <c r="I82" s="36">
        <f>SUBTOTAL(109,Gifts193213226[Difference])</f>
        <v>0</v>
      </c>
    </row>
    <row r="83" spans="1:10" ht="18.45" x14ac:dyDescent="0.45">
      <c r="A83" s="32" t="s">
        <v>61</v>
      </c>
      <c r="B83" s="33">
        <v>0</v>
      </c>
      <c r="C83" s="33">
        <v>0</v>
      </c>
      <c r="D83" s="33">
        <f>Pets195214227[[#This Row],[Projected 
cost]]-Pets195214227[[#This Row],[Actual 
cost]]</f>
        <v>0</v>
      </c>
      <c r="E83" s="28"/>
      <c r="F83" s="39"/>
      <c r="G83" s="46"/>
      <c r="H83" s="46"/>
      <c r="I83" s="33"/>
    </row>
    <row r="84" spans="1:10" ht="18.45" x14ac:dyDescent="0.45">
      <c r="A84" s="34" t="s">
        <v>64</v>
      </c>
      <c r="B84" s="51">
        <f>SUM(Pets195214227[Projected 
cost])</f>
        <v>0</v>
      </c>
      <c r="C84" s="51">
        <f>SUM(Pets195214227[Actual 
cost])</f>
        <v>0</v>
      </c>
      <c r="D84" s="51">
        <f>SUBTOTAL(109,Pets195214227[Difference])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PersonalCare197215228[[#This Row],[Projected 
cost]]-PersonalCare197215228[[#This Row],[Actual 
cost]]</f>
        <v>0</v>
      </c>
      <c r="E88" s="28"/>
      <c r="F88" s="32" t="s">
        <v>87</v>
      </c>
      <c r="G88" s="33">
        <v>0</v>
      </c>
      <c r="H88" s="33">
        <v>0</v>
      </c>
      <c r="I88" s="33">
        <f>Legal198216229[[#This Row],[Projected 
cost]]-Legal198216229[[#This Row],[Actual 
cost]]</f>
        <v>0</v>
      </c>
    </row>
    <row r="89" spans="1:10" ht="15.9" x14ac:dyDescent="0.45">
      <c r="A89" s="32" t="s">
        <v>94</v>
      </c>
      <c r="B89" s="33">
        <v>0</v>
      </c>
      <c r="C89" s="33">
        <v>0</v>
      </c>
      <c r="D89" s="33">
        <f>PersonalCare197215228[[#This Row],[Projected 
cost]]-PersonalCare197215228[[#This Row],[Actual 
cost]]</f>
        <v>0</v>
      </c>
      <c r="E89" s="28"/>
      <c r="F89" s="32" t="s">
        <v>89</v>
      </c>
      <c r="G89" s="33">
        <v>0</v>
      </c>
      <c r="H89" s="33">
        <v>0</v>
      </c>
      <c r="I89" s="33">
        <f>Legal198216229[[#This Row],[Projected 
cost]]-Legal198216229[[#This Row],[Actual 
cost]]</f>
        <v>0</v>
      </c>
    </row>
    <row r="90" spans="1:10" ht="15.9" x14ac:dyDescent="0.45">
      <c r="A90" s="32" t="s">
        <v>95</v>
      </c>
      <c r="B90" s="33">
        <v>0</v>
      </c>
      <c r="C90" s="33">
        <v>0</v>
      </c>
      <c r="D90" s="33">
        <f>PersonalCare197215228[[#This Row],[Projected 
cost]]-PersonalCare197215228[[#This Row],[Actual 
cost]]</f>
        <v>0</v>
      </c>
      <c r="E90" s="28"/>
      <c r="F90" s="32" t="s">
        <v>91</v>
      </c>
      <c r="G90" s="33">
        <v>0</v>
      </c>
      <c r="H90" s="33">
        <v>0</v>
      </c>
      <c r="I90" s="33">
        <f>Legal198216229[[#This Row],[Projected 
cost]]-Legal198216229[[#This Row],[Actual 
cost]]</f>
        <v>0</v>
      </c>
    </row>
    <row r="91" spans="1:10" ht="15.9" x14ac:dyDescent="0.45">
      <c r="A91" s="32" t="s">
        <v>96</v>
      </c>
      <c r="B91" s="33">
        <v>0</v>
      </c>
      <c r="C91" s="33">
        <v>0</v>
      </c>
      <c r="D91" s="33">
        <f>PersonalCare197215228[[#This Row],[Projected 
cost]]-PersonalCare197215228[[#This Row],[Actual 
cost]]</f>
        <v>0</v>
      </c>
      <c r="E91" s="28"/>
      <c r="F91" s="32" t="s">
        <v>97</v>
      </c>
      <c r="G91" s="33">
        <v>0</v>
      </c>
      <c r="H91" s="33">
        <v>0</v>
      </c>
      <c r="I91" s="33">
        <f>Legal198216229[[#This Row],[Projected 
cost]]-Legal198216229[[#This Row],[Actual 
cost]]</f>
        <v>0</v>
      </c>
    </row>
    <row r="92" spans="1:10" ht="18.45" x14ac:dyDescent="0.45">
      <c r="A92" s="32" t="s">
        <v>98</v>
      </c>
      <c r="B92" s="33">
        <v>0</v>
      </c>
      <c r="C92" s="33">
        <v>0</v>
      </c>
      <c r="D92" s="33">
        <f>PersonalCare197215228[[#This Row],[Projected 
cost]]-PersonalCare197215228[[#This Row],[Actual 
cost]]</f>
        <v>0</v>
      </c>
      <c r="E92" s="28"/>
      <c r="F92" s="34" t="s">
        <v>64</v>
      </c>
      <c r="G92" s="35">
        <f>SUM(Legal198216229[Projected 
cost])</f>
        <v>0</v>
      </c>
      <c r="H92" s="35">
        <f>SUM(Legal198216229[Actual 
cost])</f>
        <v>0</v>
      </c>
      <c r="I92" s="36">
        <f>SUBTOTAL(109,Legal198216229[Difference])</f>
        <v>0</v>
      </c>
    </row>
    <row r="93" spans="1:10" ht="15.9" x14ac:dyDescent="0.45">
      <c r="A93" s="32" t="s">
        <v>99</v>
      </c>
      <c r="B93" s="33">
        <v>0</v>
      </c>
      <c r="C93" s="33">
        <v>0</v>
      </c>
      <c r="D93" s="33">
        <f>PersonalCare197215228[[#This Row],[Projected 
cost]]-PersonalCare197215228[[#This Row],[Actual 
cost]]</f>
        <v>0</v>
      </c>
      <c r="E93" s="28"/>
      <c r="F93" s="38"/>
      <c r="G93" s="38"/>
      <c r="H93" s="38"/>
      <c r="I93" s="38"/>
    </row>
    <row r="94" spans="1:10" ht="15.9" customHeight="1" x14ac:dyDescent="0.45">
      <c r="A94" s="32" t="s">
        <v>61</v>
      </c>
      <c r="B94" s="33">
        <v>0</v>
      </c>
      <c r="C94" s="33">
        <v>0</v>
      </c>
      <c r="D94" s="33">
        <f>PersonalCare197215228[[#This Row],[Projected 
cost]]-PersonalCare197215228[[#This Row],[Actual 
cost]]</f>
        <v>0</v>
      </c>
      <c r="E94" s="28"/>
      <c r="F94" s="67" t="s">
        <v>121</v>
      </c>
      <c r="G94" s="67"/>
      <c r="H94" s="67"/>
      <c r="I94" s="68">
        <f>J59</f>
        <v>0</v>
      </c>
      <c r="J94" s="69" t="s">
        <v>123</v>
      </c>
    </row>
    <row r="95" spans="1:10" ht="18.45" x14ac:dyDescent="0.45">
      <c r="A95" s="34" t="s">
        <v>64</v>
      </c>
      <c r="B95" s="35">
        <f>SUM(PersonalCare197215228[Projected 
cost])</f>
        <v>0</v>
      </c>
      <c r="C95" s="35">
        <f>SUM(PersonalCare197215228[Actual 
cost])</f>
        <v>0</v>
      </c>
      <c r="D95" s="36">
        <f>SUBTOTAL(109,PersonalCare197215228[Difference])</f>
        <v>0</v>
      </c>
      <c r="E95" s="28"/>
      <c r="F95" s="67"/>
      <c r="G95" s="67"/>
      <c r="H95" s="67"/>
      <c r="I95" s="68"/>
      <c r="J95" s="69"/>
    </row>
    <row r="96" spans="1:10" ht="15.9" x14ac:dyDescent="0.45">
      <c r="A96" s="54"/>
      <c r="B96" s="54"/>
      <c r="C96" s="54"/>
      <c r="D96" s="54"/>
      <c r="E96" s="28"/>
      <c r="F96" s="76" t="s">
        <v>100</v>
      </c>
      <c r="G96" s="76"/>
      <c r="H96" s="76"/>
      <c r="I96" s="78">
        <f>SUBTOTAL(109,Housing179205218[Projected
cost],Transportation183208221[Projected 
cost],Insurance185209222[Projected
cost],Food191212225[Projected 
cost],Pets195214227[Projected 
cost],PersonalCare197215228[Projected 
cost],Entertainment180206219[Projected 
cost],Loans182207220[Projected 
cost],Taxes187210223[Projected 
cost],Savings189211224[Projected 
cost],Gifts193213226[Projected 
cost],Legal198216229[Projected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SUBTOTAL(109,Housing179205218[Actual 
cost],Transportation183208221[Actual 
cost],Insurance185209222[Actual 
cost],Food191212225[Actual 
cost],Pets195214227[Actual 
cost],PersonalCare197215228[Actual 
cost],Entertainment180206219[Actual 
cost],Loans182207220[Actual 
cost],Taxes187210223[Actual 
cost],Savings189211224[Actual 
cost],Gifts193213226[Actual 
cost],Legal198216229[Actual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B91D05-0C77-45F2-B4F3-1DB222F7A5CC}">
  <sheetPr>
    <tabColor rgb="FF7030A0"/>
  </sheetPr>
  <dimension ref="B1:T65"/>
  <sheetViews>
    <sheetView topLeftCell="C8" zoomScale="62" workbookViewId="0">
      <selection activeCell="Q57" sqref="Q57"/>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'June Budget'!J55</f>
        <v>0</v>
      </c>
      <c r="D4" s="42">
        <f>'June Budget'!H55</f>
        <v>0</v>
      </c>
      <c r="E4" s="59">
        <v>0</v>
      </c>
      <c r="F4" s="3" t="s">
        <v>107</v>
      </c>
      <c r="G4" s="60" t="s">
        <v>109</v>
      </c>
      <c r="H4" s="7"/>
      <c r="I4" s="7"/>
      <c r="J4" s="7"/>
      <c r="K4" s="7"/>
      <c r="L4" s="7"/>
      <c r="M4" s="7"/>
      <c r="N4" s="7"/>
      <c r="O4" s="7"/>
      <c r="P4" s="2"/>
      <c r="Q4" s="2"/>
      <c r="R4" s="2"/>
      <c r="S4" s="2"/>
      <c r="T4" s="2"/>
    </row>
    <row r="5" spans="2:20" ht="14.6" x14ac:dyDescent="0.4">
      <c r="B5" s="10"/>
      <c r="C5" s="57">
        <f>'June Budget'!J56</f>
        <v>0</v>
      </c>
      <c r="D5" s="42">
        <f>'June Budget'!H56</f>
        <v>0</v>
      </c>
      <c r="E5" s="59"/>
      <c r="F5" s="3" t="s">
        <v>108</v>
      </c>
    </row>
    <row r="6" spans="2:20" ht="14.6" x14ac:dyDescent="0.4">
      <c r="B6" s="10"/>
      <c r="C6" s="57">
        <f>'June Budget'!J57</f>
        <v>0</v>
      </c>
      <c r="D6" s="42">
        <f>'June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'June Budget'!J54</f>
        <v>0</v>
      </c>
      <c r="E45" s="9">
        <v>0</v>
      </c>
      <c r="F45" s="10">
        <f>'June Budget'!H54</f>
        <v>0</v>
      </c>
      <c r="G45" s="3" t="s">
        <v>112</v>
      </c>
    </row>
    <row r="46" spans="2:7" ht="15" customHeight="1" x14ac:dyDescent="0.4">
      <c r="C46" t="s">
        <v>67</v>
      </c>
      <c r="D46" s="10">
        <f>'June Budget'!J53</f>
        <v>0</v>
      </c>
      <c r="F46" s="10">
        <f>'June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B68C06FC-EF8B-4E03-A829-222FEEFFA89B}"/>
    <hyperlink ref="F4" r:id="rId2" xr:uid="{C378AACB-A186-4476-A47C-0C0CFB5EF9E3}"/>
    <hyperlink ref="F5" r:id="rId3" xr:uid="{E3BBB315-12DF-4C57-AAB7-3B6F6C954836}"/>
  </hyperlinks>
  <pageMargins left="0.7" right="0.7" top="0.75" bottom="0.75" header="0.3" footer="0.3"/>
  <drawing r:id="rId4"/>
  <tableParts count="4">
    <tablePart r:id="rId5"/>
    <tablePart r:id="rId6"/>
    <tablePart r:id="rId7"/>
    <tablePart r:id="rId8"/>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4FD82-902D-4EF7-806A-99007B256055}">
  <sheetPr>
    <tabColor theme="7"/>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Entertainment180206219291[[#This Row],[Projected 
cost]]-Entertainment180206219291[[#This Row],[Actual 
cost]]</f>
        <v>0</v>
      </c>
    </row>
    <row r="40" spans="1:9" ht="15.9" x14ac:dyDescent="0.45">
      <c r="A40" s="31" t="s">
        <v>50</v>
      </c>
      <c r="B40" s="4">
        <v>0</v>
      </c>
      <c r="C40" s="4">
        <v>0</v>
      </c>
      <c r="D40" s="4"/>
      <c r="E40" s="28"/>
      <c r="F40" s="32" t="s">
        <v>51</v>
      </c>
      <c r="G40" s="33">
        <v>0</v>
      </c>
      <c r="H40" s="33">
        <v>0</v>
      </c>
      <c r="I40" s="33">
        <f>Entertainment180206219291[[#This Row],[Projected 
cost]]-Entertainment180206219291[[#This Row],[Actual 
cost]]</f>
        <v>0</v>
      </c>
    </row>
    <row r="41" spans="1:9" ht="15.9" x14ac:dyDescent="0.45">
      <c r="A41" s="31" t="s">
        <v>52</v>
      </c>
      <c r="B41" s="4">
        <v>0</v>
      </c>
      <c r="C41" s="4">
        <v>0</v>
      </c>
      <c r="D41" s="4"/>
      <c r="E41" s="28"/>
      <c r="F41" s="32" t="s">
        <v>53</v>
      </c>
      <c r="G41" s="33">
        <v>0</v>
      </c>
      <c r="H41" s="33">
        <v>0</v>
      </c>
      <c r="I41" s="33">
        <f>Entertainment180206219291[[#This Row],[Projected 
cost]]-Entertainment180206219291[[#This Row],[Actual 
cost]]</f>
        <v>0</v>
      </c>
    </row>
    <row r="42" spans="1:9" ht="15.9" x14ac:dyDescent="0.45">
      <c r="A42" s="31" t="s">
        <v>54</v>
      </c>
      <c r="B42" s="4">
        <v>0</v>
      </c>
      <c r="C42" s="4">
        <v>0</v>
      </c>
      <c r="D42" s="4"/>
      <c r="E42" s="28"/>
      <c r="F42" s="32" t="s">
        <v>55</v>
      </c>
      <c r="G42" s="33">
        <v>0</v>
      </c>
      <c r="H42" s="33">
        <v>0</v>
      </c>
      <c r="I42" s="33">
        <f>Entertainment180206219291[[#This Row],[Projected 
cost]]-Entertainment180206219291[[#This Row],[Actual 
cost]]</f>
        <v>0</v>
      </c>
    </row>
    <row r="43" spans="1:9" ht="15.9" x14ac:dyDescent="0.45">
      <c r="A43" s="31" t="s">
        <v>56</v>
      </c>
      <c r="B43" s="4">
        <v>0</v>
      </c>
      <c r="C43" s="4">
        <v>0</v>
      </c>
      <c r="D43" s="4"/>
      <c r="E43" s="28"/>
      <c r="F43" s="32" t="s">
        <v>57</v>
      </c>
      <c r="G43" s="33">
        <v>0</v>
      </c>
      <c r="H43" s="33">
        <v>0</v>
      </c>
      <c r="I43" s="33">
        <f>Entertainment180206219291[[#This Row],[Projected 
cost]]-Entertainment180206219291[[#This Row],[Actual 
cost]]</f>
        <v>0</v>
      </c>
    </row>
    <row r="44" spans="1:9" ht="15.9" x14ac:dyDescent="0.45">
      <c r="A44" s="31" t="s">
        <v>58</v>
      </c>
      <c r="B44" s="4">
        <v>0</v>
      </c>
      <c r="C44" s="4">
        <v>0</v>
      </c>
      <c r="D44" s="4"/>
      <c r="E44" s="28"/>
      <c r="F44" s="32" t="s">
        <v>59</v>
      </c>
      <c r="G44" s="33">
        <v>0</v>
      </c>
      <c r="H44" s="33">
        <v>0</v>
      </c>
      <c r="I44" s="33">
        <f>Entertainment180206219291[[#This Row],[Projected 
cost]]-Entertainment180206219291[[#This Row],[Actual 
cost]]</f>
        <v>0</v>
      </c>
    </row>
    <row r="45" spans="1:9" ht="15.9" x14ac:dyDescent="0.45">
      <c r="A45" s="31" t="s">
        <v>60</v>
      </c>
      <c r="B45" s="4">
        <v>0</v>
      </c>
      <c r="C45" s="4">
        <v>0</v>
      </c>
      <c r="D45" s="4"/>
      <c r="E45" s="28"/>
      <c r="F45" s="32" t="s">
        <v>61</v>
      </c>
      <c r="G45" s="33">
        <v>0</v>
      </c>
      <c r="H45" s="33">
        <v>0</v>
      </c>
      <c r="I45" s="33">
        <f>Entertainment180206219291[[#This Row],[Projected 
cost]]-Entertainment180206219291[[#This Row],[Actual 
cost]]</f>
        <v>0</v>
      </c>
    </row>
    <row r="46" spans="1:9" ht="15.9" x14ac:dyDescent="0.45">
      <c r="A46" s="31" t="s">
        <v>62</v>
      </c>
      <c r="B46" s="4">
        <v>0</v>
      </c>
      <c r="C46" s="4">
        <v>0</v>
      </c>
      <c r="D46" s="4"/>
      <c r="E46" s="28"/>
      <c r="F46" s="32" t="s">
        <v>61</v>
      </c>
      <c r="G46" s="33">
        <v>0</v>
      </c>
      <c r="H46" s="33">
        <v>0</v>
      </c>
      <c r="I46" s="33">
        <f>Entertainment180206219291[[#This Row],[Projected 
cost]]-Entertainment180206219291[[#This Row],[Actual 
cost]]</f>
        <v>0</v>
      </c>
    </row>
    <row r="47" spans="1:9" ht="15.9" x14ac:dyDescent="0.45">
      <c r="A47" s="31" t="s">
        <v>63</v>
      </c>
      <c r="B47" s="4">
        <v>0</v>
      </c>
      <c r="C47" s="4">
        <v>0</v>
      </c>
      <c r="D47" s="4"/>
      <c r="E47" s="28"/>
      <c r="F47" s="32" t="s">
        <v>61</v>
      </c>
      <c r="G47" s="33">
        <v>0</v>
      </c>
      <c r="H47" s="33">
        <v>0</v>
      </c>
      <c r="I47" s="33">
        <f>Entertainment180206219291[[#This Row],[Projected 
cost]]-Entertainment180206219291[[#This Row],[Actual 
cost]]</f>
        <v>0</v>
      </c>
    </row>
    <row r="48" spans="1:9" ht="18.45" x14ac:dyDescent="0.45">
      <c r="A48" s="31" t="s">
        <v>61</v>
      </c>
      <c r="B48" s="4">
        <v>0</v>
      </c>
      <c r="C48" s="4">
        <v>0</v>
      </c>
      <c r="D48" s="4"/>
      <c r="E48" s="28"/>
      <c r="F48" s="34" t="s">
        <v>64</v>
      </c>
      <c r="G48" s="35">
        <f>SUM(Entertainment180206219291[Projected 
cost])</f>
        <v>0</v>
      </c>
      <c r="H48" s="35">
        <f>SUM(Entertainment180206219291[Actual 
cost])</f>
        <v>0</v>
      </c>
      <c r="I48" s="36">
        <f>SUBTOTAL(109,Entertainment180206219291[Difference])</f>
        <v>0</v>
      </c>
    </row>
    <row r="49" spans="1:10" ht="18.45" x14ac:dyDescent="0.45">
      <c r="A49" s="37" t="s">
        <v>64</v>
      </c>
      <c r="B49" s="4">
        <f>SUM(Housing179205218290[Projected
cost])</f>
        <v>0</v>
      </c>
      <c r="C49" s="4">
        <f>SUM(Housing179205218290[Actual 
cost])</f>
        <v>0</v>
      </c>
      <c r="D49" s="4">
        <f>SUBTOTAL(109,Housing179205218290[Difference])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Transportation183208221293[[#This Row],[Projected 
cost]]-Transportation183208221293[[#This Row],[Actual 
cost]]</f>
        <v>0</v>
      </c>
      <c r="E53" s="28"/>
      <c r="F53" s="32" t="s">
        <v>67</v>
      </c>
      <c r="G53" s="33">
        <v>0</v>
      </c>
      <c r="H53" s="33">
        <v>0</v>
      </c>
      <c r="I53" s="33">
        <f>Loans182207220292[[#This Row],[Projected 
cost]]-Loans182207220292[[#This Row],[Actual 
cost]]</f>
        <v>0</v>
      </c>
      <c r="J53" s="42">
        <v>0</v>
      </c>
    </row>
    <row r="54" spans="1:10" ht="15.9" x14ac:dyDescent="0.45">
      <c r="A54" s="32" t="s">
        <v>68</v>
      </c>
      <c r="B54" s="33">
        <v>0</v>
      </c>
      <c r="C54" s="33">
        <v>0</v>
      </c>
      <c r="D54" s="33">
        <f>Transportation183208221293[[#This Row],[Projected 
cost]]-Transportation183208221293[[#This Row],[Actual 
cost]]</f>
        <v>0</v>
      </c>
      <c r="E54" s="28"/>
      <c r="F54" s="32" t="s">
        <v>69</v>
      </c>
      <c r="G54" s="33">
        <v>0</v>
      </c>
      <c r="H54" s="33">
        <v>0</v>
      </c>
      <c r="I54" s="33">
        <f>Loans182207220292[[#This Row],[Projected 
cost]]-Loans182207220292[[#This Row],[Actual 
cost]]</f>
        <v>0</v>
      </c>
      <c r="J54" s="42">
        <v>0</v>
      </c>
    </row>
    <row r="55" spans="1:10" ht="15.9" x14ac:dyDescent="0.45">
      <c r="A55" s="32" t="s">
        <v>70</v>
      </c>
      <c r="B55" s="33">
        <v>0</v>
      </c>
      <c r="C55" s="33">
        <v>0</v>
      </c>
      <c r="D55" s="33">
        <f>Transportation183208221293[[#This Row],[Projected 
cost]]-Transportation183208221293[[#This Row],[Actual 
cost]]</f>
        <v>0</v>
      </c>
      <c r="E55" s="28"/>
      <c r="F55" s="32" t="s">
        <v>71</v>
      </c>
      <c r="G55" s="33">
        <v>0</v>
      </c>
      <c r="H55" s="33">
        <v>0</v>
      </c>
      <c r="I55" s="33">
        <f>Loans182207220292[[#This Row],[Projected 
cost]]-Loans182207220292[[#This Row],[Actual 
cost]]</f>
        <v>0</v>
      </c>
      <c r="J55" s="42">
        <v>0</v>
      </c>
    </row>
    <row r="56" spans="1:10" ht="15.9" x14ac:dyDescent="0.45">
      <c r="A56" s="32" t="s">
        <v>72</v>
      </c>
      <c r="B56" s="33">
        <v>0</v>
      </c>
      <c r="C56" s="33">
        <v>0</v>
      </c>
      <c r="D56" s="33">
        <f>Transportation183208221293[[#This Row],[Projected 
cost]]-Transportation183208221293[[#This Row],[Actual 
cost]]</f>
        <v>0</v>
      </c>
      <c r="E56" s="28"/>
      <c r="F56" s="32" t="s">
        <v>71</v>
      </c>
      <c r="G56" s="33">
        <v>0</v>
      </c>
      <c r="H56" s="33">
        <v>0</v>
      </c>
      <c r="I56" s="33">
        <f>Loans182207220292[[#This Row],[Projected 
cost]]-Loans182207220292[[#This Row],[Actual 
cost]]</f>
        <v>0</v>
      </c>
      <c r="J56" s="42">
        <v>0</v>
      </c>
    </row>
    <row r="57" spans="1:10" ht="15.9" x14ac:dyDescent="0.45">
      <c r="A57" s="32" t="s">
        <v>73</v>
      </c>
      <c r="B57" s="33">
        <v>0</v>
      </c>
      <c r="C57" s="33">
        <v>0</v>
      </c>
      <c r="D57" s="33">
        <f>Transportation183208221293[[#This Row],[Projected 
cost]]-Transportation183208221293[[#This Row],[Actual 
cost]]</f>
        <v>0</v>
      </c>
      <c r="E57" s="28"/>
      <c r="F57" s="32" t="s">
        <v>71</v>
      </c>
      <c r="G57" s="33">
        <v>0</v>
      </c>
      <c r="H57" s="33">
        <v>0</v>
      </c>
      <c r="I57" s="33">
        <f>Loans182207220292[[#This Row],[Projected 
cost]]-Loans182207220292[[#This Row],[Actual 
cost]]</f>
        <v>0</v>
      </c>
      <c r="J57" s="42">
        <v>0</v>
      </c>
    </row>
    <row r="58" spans="1:10" ht="15.9" x14ac:dyDescent="0.45">
      <c r="A58" s="32" t="s">
        <v>74</v>
      </c>
      <c r="B58" s="33">
        <v>0</v>
      </c>
      <c r="C58" s="33">
        <v>0</v>
      </c>
      <c r="D58" s="33">
        <f>Transportation183208221293[[#This Row],[Projected 
cost]]-Transportation183208221293[[#This Row],[Actual 
cost]]</f>
        <v>0</v>
      </c>
      <c r="E58" s="28"/>
      <c r="F58" s="32" t="s">
        <v>61</v>
      </c>
      <c r="G58" s="33">
        <v>0</v>
      </c>
      <c r="H58" s="33">
        <v>0</v>
      </c>
      <c r="I58" s="33">
        <f>Loans182207220292[[#This Row],[Projected 
cost]]-Loans182207220292[[#This Row],[Actual 
cost]]</f>
        <v>0</v>
      </c>
      <c r="J58" s="42">
        <v>0</v>
      </c>
    </row>
    <row r="59" spans="1:10" ht="18.45" x14ac:dyDescent="0.45">
      <c r="A59" s="32" t="s">
        <v>61</v>
      </c>
      <c r="B59" s="33">
        <v>0</v>
      </c>
      <c r="C59" s="33">
        <v>0</v>
      </c>
      <c r="D59" s="33">
        <f>Transportation183208221293[[#This Row],[Projected 
cost]]-Transportation183208221293[[#This Row],[Actual 
cost]]</f>
        <v>0</v>
      </c>
      <c r="E59" s="28"/>
      <c r="F59" s="34" t="s">
        <v>64</v>
      </c>
      <c r="G59" s="35">
        <f>SUM(Loans182207220292[Projected 
cost])</f>
        <v>0</v>
      </c>
      <c r="H59" s="35">
        <f>SUM(Loans182207220292[Actual 
cost])</f>
        <v>0</v>
      </c>
      <c r="I59" s="36">
        <f>SUBTOTAL(109,Loans182207220292[Difference])</f>
        <v>0</v>
      </c>
      <c r="J59" s="43">
        <f>SUM(J53:J58)</f>
        <v>0</v>
      </c>
    </row>
    <row r="60" spans="1:10" ht="18.45" x14ac:dyDescent="0.45">
      <c r="A60" s="34" t="s">
        <v>64</v>
      </c>
      <c r="B60" s="35">
        <f>SUM(Transportation183208221293[Projected 
cost])</f>
        <v>0</v>
      </c>
      <c r="C60" s="35">
        <f>SUM(Transportation183208221293[Actual 
cost])</f>
        <v>0</v>
      </c>
      <c r="D60" s="36">
        <f>SUBTOTAL(109,Transportation183208221293[Difference])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Insurance185209222294[[#This Row],[Projected
cost]]-Insurance185209222294[[#This Row],[Actual 
cost]]</f>
        <v>0</v>
      </c>
      <c r="E64" s="28"/>
      <c r="F64" s="32" t="s">
        <v>76</v>
      </c>
      <c r="G64" s="33">
        <v>0</v>
      </c>
      <c r="H64" s="33">
        <v>0</v>
      </c>
      <c r="I64" s="33">
        <f>Taxes187210223295[[#This Row],[Projected 
cost]]-Taxes187210223295[[#This Row],[Actual 
cost]]</f>
        <v>0</v>
      </c>
    </row>
    <row r="65" spans="1:9" ht="15.9" x14ac:dyDescent="0.45">
      <c r="A65" s="32" t="s">
        <v>77</v>
      </c>
      <c r="B65" s="33">
        <v>0</v>
      </c>
      <c r="C65" s="33">
        <v>0</v>
      </c>
      <c r="D65" s="33">
        <f>Insurance185209222294[[#This Row],[Projected
cost]]-Insurance185209222294[[#This Row],[Actual 
cost]]</f>
        <v>0</v>
      </c>
      <c r="E65" s="28"/>
      <c r="F65" s="32" t="s">
        <v>78</v>
      </c>
      <c r="G65" s="33">
        <v>0</v>
      </c>
      <c r="H65" s="33">
        <v>0</v>
      </c>
      <c r="I65" s="33">
        <f>Taxes187210223295[[#This Row],[Projected 
cost]]-Taxes187210223295[[#This Row],[Actual 
cost]]</f>
        <v>0</v>
      </c>
    </row>
    <row r="66" spans="1:9" ht="15.9" x14ac:dyDescent="0.45">
      <c r="A66" s="32" t="s">
        <v>79</v>
      </c>
      <c r="B66" s="33">
        <v>0</v>
      </c>
      <c r="C66" s="33">
        <v>0</v>
      </c>
      <c r="D66" s="33">
        <f>Insurance185209222294[[#This Row],[Projected
cost]]-Insurance185209222294[[#This Row],[Actual 
cost]]</f>
        <v>0</v>
      </c>
      <c r="E66" s="28"/>
      <c r="F66" s="32" t="s">
        <v>80</v>
      </c>
      <c r="G66" s="33">
        <v>0</v>
      </c>
      <c r="H66" s="33">
        <v>0</v>
      </c>
      <c r="I66" s="33">
        <f>Taxes187210223295[[#This Row],[Projected 
cost]]-Taxes187210223295[[#This Row],[Actual 
cost]]</f>
        <v>0</v>
      </c>
    </row>
    <row r="67" spans="1:9" ht="15.9" x14ac:dyDescent="0.45">
      <c r="A67" s="32" t="s">
        <v>61</v>
      </c>
      <c r="B67" s="33">
        <v>0</v>
      </c>
      <c r="C67" s="33">
        <v>0</v>
      </c>
      <c r="D67" s="33">
        <f>Insurance185209222294[[#This Row],[Projected
cost]]-Insurance185209222294[[#This Row],[Actual 
cost]]</f>
        <v>0</v>
      </c>
      <c r="E67" s="28"/>
      <c r="F67" s="32" t="s">
        <v>61</v>
      </c>
      <c r="G67" s="33">
        <v>0</v>
      </c>
      <c r="H67" s="33">
        <v>0</v>
      </c>
      <c r="I67" s="33">
        <f>Taxes187210223295[[#This Row],[Projected 
cost]]-Taxes187210223295[[#This Row],[Actual 
cost]]</f>
        <v>0</v>
      </c>
    </row>
    <row r="68" spans="1:9" ht="18.45" x14ac:dyDescent="0.45">
      <c r="A68" s="34" t="s">
        <v>64</v>
      </c>
      <c r="B68" s="35" t="s">
        <v>122</v>
      </c>
      <c r="C68" s="35">
        <f>SUM(Insurance185209222294[Actual 
cost])</f>
        <v>0</v>
      </c>
      <c r="D68" s="36">
        <f>SUBTOTAL(109,Insurance185209222294[Difference])</f>
        <v>0</v>
      </c>
      <c r="E68" s="28"/>
      <c r="F68" s="34" t="s">
        <v>64</v>
      </c>
      <c r="G68" s="35">
        <f>SUM(Taxes187210223295[Projected 
cost])</f>
        <v>0</v>
      </c>
      <c r="H68" s="35">
        <f>SUM(Taxes187210223295[Actual 
cost])</f>
        <v>0</v>
      </c>
      <c r="I68" s="36">
        <f>SUBTOTAL(109,Taxes187210223295[Difference])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Food191212225297[[#This Row],[Projected 
cost]]-Food191212225297[[#This Row],[Actual 
cost]]</f>
        <v>0</v>
      </c>
      <c r="E72" s="28"/>
      <c r="F72" s="32" t="s">
        <v>83</v>
      </c>
      <c r="G72" s="33">
        <v>0</v>
      </c>
      <c r="H72" s="33">
        <v>0</v>
      </c>
      <c r="I72" s="33">
        <f>Savings189211224296[[#This Row],[Projected 
cost]]-Savings189211224296[[#This Row],[Actual 
cost]]</f>
        <v>0</v>
      </c>
    </row>
    <row r="73" spans="1:9" ht="15.9" x14ac:dyDescent="0.45">
      <c r="A73" s="32" t="s">
        <v>84</v>
      </c>
      <c r="B73" s="33">
        <v>0</v>
      </c>
      <c r="C73" s="33">
        <v>0</v>
      </c>
      <c r="D73" s="33">
        <f>Food191212225297[[#This Row],[Projected 
cost]]-Food191212225297[[#This Row],[Actual 
cost]]</f>
        <v>0</v>
      </c>
      <c r="E73" s="28"/>
      <c r="F73" s="32" t="s">
        <v>85</v>
      </c>
      <c r="G73" s="33">
        <v>0</v>
      </c>
      <c r="H73" s="33">
        <v>0</v>
      </c>
      <c r="I73" s="33">
        <f>Savings189211224296[[#This Row],[Projected 
cost]]-Savings189211224296[[#This Row],[Actual 
cost]]</f>
        <v>0</v>
      </c>
    </row>
    <row r="74" spans="1:9" ht="15.9" x14ac:dyDescent="0.45">
      <c r="A74" s="32" t="s">
        <v>61</v>
      </c>
      <c r="B74" s="33">
        <v>0</v>
      </c>
      <c r="C74" s="33">
        <v>0</v>
      </c>
      <c r="D74" s="33">
        <f>Food191212225297[[#This Row],[Projected 
cost]]-Food191212225297[[#This Row],[Actual 
cost]]</f>
        <v>0</v>
      </c>
      <c r="E74" s="28"/>
      <c r="F74" s="32" t="s">
        <v>61</v>
      </c>
      <c r="G74" s="33">
        <v>0</v>
      </c>
      <c r="H74" s="33">
        <v>0</v>
      </c>
      <c r="I74" s="33">
        <f>Savings189211224296[[#This Row],[Projected 
cost]]-Savings189211224296[[#This Row],[Actual 
cost]]</f>
        <v>0</v>
      </c>
    </row>
    <row r="75" spans="1:9" ht="18.45" x14ac:dyDescent="0.45">
      <c r="A75" s="34" t="s">
        <v>64</v>
      </c>
      <c r="B75" s="35">
        <f>SUM(Food191212225297[Projected 
cost])</f>
        <v>0</v>
      </c>
      <c r="C75" s="35">
        <f>SUM(Food191212225297[Actual 
cost])</f>
        <v>0</v>
      </c>
      <c r="D75" s="36">
        <f>SUBTOTAL(109,Food191212225297[Difference])</f>
        <v>0</v>
      </c>
      <c r="E75" s="28"/>
      <c r="F75" s="34" t="s">
        <v>64</v>
      </c>
      <c r="G75" s="35">
        <f>SUM(Savings189211224296[Projected 
cost])</f>
        <v>0</v>
      </c>
      <c r="H75" s="35">
        <f>SUM(Savings189211224296[Actual 
cost])</f>
        <v>0</v>
      </c>
      <c r="I75" s="36">
        <f>SUBTOTAL(109,Savings189211224296[Difference])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Pets195214227299[[#This Row],[Projected 
cost]]-Pets195214227299[[#This Row],[Actual 
cost]]</f>
        <v>0</v>
      </c>
      <c r="E79" s="28"/>
      <c r="F79" s="32" t="s">
        <v>87</v>
      </c>
      <c r="G79" s="33">
        <v>0</v>
      </c>
      <c r="H79" s="33">
        <v>0</v>
      </c>
      <c r="I79" s="33">
        <f>Gifts193213226298[[#This Row],[Projected 
cost]]-Gifts193213226298[[#This Row],[Actual 
cost]]</f>
        <v>0</v>
      </c>
    </row>
    <row r="80" spans="1:9" ht="15.9" x14ac:dyDescent="0.45">
      <c r="A80" s="32" t="s">
        <v>88</v>
      </c>
      <c r="B80" s="33">
        <v>0</v>
      </c>
      <c r="C80" s="33">
        <v>0</v>
      </c>
      <c r="D80" s="33">
        <f>Pets195214227299[[#This Row],[Projected 
cost]]-Pets195214227299[[#This Row],[Actual 
cost]]</f>
        <v>0</v>
      </c>
      <c r="E80" s="28"/>
      <c r="F80" s="32" t="s">
        <v>89</v>
      </c>
      <c r="G80" s="33">
        <v>0</v>
      </c>
      <c r="H80" s="33">
        <v>0</v>
      </c>
      <c r="I80" s="33">
        <f>Gifts193213226298[[#This Row],[Projected 
cost]]-Gifts193213226298[[#This Row],[Actual 
cost]]</f>
        <v>0</v>
      </c>
    </row>
    <row r="81" spans="1:10" ht="15.9" x14ac:dyDescent="0.45">
      <c r="A81" s="32" t="s">
        <v>90</v>
      </c>
      <c r="B81" s="33">
        <v>0</v>
      </c>
      <c r="C81" s="33">
        <v>0</v>
      </c>
      <c r="D81" s="33">
        <f>Pets195214227299[[#This Row],[Projected 
cost]]-Pets195214227299[[#This Row],[Actual 
cost]]</f>
        <v>0</v>
      </c>
      <c r="E81" s="28"/>
      <c r="F81" s="32" t="s">
        <v>91</v>
      </c>
      <c r="G81" s="33">
        <v>0</v>
      </c>
      <c r="H81" s="33">
        <v>0</v>
      </c>
      <c r="I81" s="33">
        <f>Gifts193213226298[[#This Row],[Projected 
cost]]-Gifts193213226298[[#This Row],[Actual 
cost]]</f>
        <v>0</v>
      </c>
    </row>
    <row r="82" spans="1:10" ht="18.45" x14ac:dyDescent="0.45">
      <c r="A82" s="32" t="s">
        <v>92</v>
      </c>
      <c r="B82" s="33">
        <v>0</v>
      </c>
      <c r="C82" s="33">
        <v>0</v>
      </c>
      <c r="D82" s="33">
        <f>Pets195214227299[[#This Row],[Projected 
cost]]-Pets195214227299[[#This Row],[Actual 
cost]]</f>
        <v>0</v>
      </c>
      <c r="E82" s="28"/>
      <c r="F82" s="34" t="s">
        <v>64</v>
      </c>
      <c r="G82" s="35">
        <f>SUM(Gifts193213226298[Projected 
cost])</f>
        <v>0</v>
      </c>
      <c r="H82" s="35">
        <f>SUM(Gifts193213226298[Actual 
cost])</f>
        <v>0</v>
      </c>
      <c r="I82" s="36">
        <f>SUBTOTAL(109,Gifts193213226298[Difference])</f>
        <v>0</v>
      </c>
    </row>
    <row r="83" spans="1:10" ht="18.45" x14ac:dyDescent="0.45">
      <c r="A83" s="32" t="s">
        <v>61</v>
      </c>
      <c r="B83" s="33">
        <v>0</v>
      </c>
      <c r="C83" s="33">
        <v>0</v>
      </c>
      <c r="D83" s="33">
        <f>Pets195214227299[[#This Row],[Projected 
cost]]-Pets195214227299[[#This Row],[Actual 
cost]]</f>
        <v>0</v>
      </c>
      <c r="E83" s="28"/>
      <c r="F83" s="39"/>
      <c r="G83" s="46"/>
      <c r="H83" s="46"/>
      <c r="I83" s="33"/>
    </row>
    <row r="84" spans="1:10" ht="18.45" x14ac:dyDescent="0.45">
      <c r="A84" s="34" t="s">
        <v>64</v>
      </c>
      <c r="B84" s="51">
        <f>SUM(Pets195214227299[Projected 
cost])</f>
        <v>0</v>
      </c>
      <c r="C84" s="51">
        <f>SUM(Pets195214227299[Actual 
cost])</f>
        <v>0</v>
      </c>
      <c r="D84" s="51">
        <f>SUBTOTAL(109,Pets195214227299[Difference])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PersonalCare197215228300[[#This Row],[Projected 
cost]]-PersonalCare197215228300[[#This Row],[Actual 
cost]]</f>
        <v>0</v>
      </c>
      <c r="E88" s="28"/>
      <c r="F88" s="32" t="s">
        <v>87</v>
      </c>
      <c r="G88" s="33">
        <v>0</v>
      </c>
      <c r="H88" s="33">
        <v>0</v>
      </c>
      <c r="I88" s="33">
        <f>Legal198216229301[[#This Row],[Projected 
cost]]-Legal198216229301[[#This Row],[Actual 
cost]]</f>
        <v>0</v>
      </c>
    </row>
    <row r="89" spans="1:10" ht="15.9" x14ac:dyDescent="0.45">
      <c r="A89" s="32" t="s">
        <v>94</v>
      </c>
      <c r="B89" s="33">
        <v>0</v>
      </c>
      <c r="C89" s="33">
        <v>0</v>
      </c>
      <c r="D89" s="33">
        <f>PersonalCare197215228300[[#This Row],[Projected 
cost]]-PersonalCare197215228300[[#This Row],[Actual 
cost]]</f>
        <v>0</v>
      </c>
      <c r="E89" s="28"/>
      <c r="F89" s="32" t="s">
        <v>89</v>
      </c>
      <c r="G89" s="33">
        <v>0</v>
      </c>
      <c r="H89" s="33">
        <v>0</v>
      </c>
      <c r="I89" s="33">
        <f>Legal198216229301[[#This Row],[Projected 
cost]]-Legal198216229301[[#This Row],[Actual 
cost]]</f>
        <v>0</v>
      </c>
    </row>
    <row r="90" spans="1:10" ht="15.9" x14ac:dyDescent="0.45">
      <c r="A90" s="32" t="s">
        <v>95</v>
      </c>
      <c r="B90" s="33">
        <v>0</v>
      </c>
      <c r="C90" s="33">
        <v>0</v>
      </c>
      <c r="D90" s="33">
        <f>PersonalCare197215228300[[#This Row],[Projected 
cost]]-PersonalCare197215228300[[#This Row],[Actual 
cost]]</f>
        <v>0</v>
      </c>
      <c r="E90" s="28"/>
      <c r="F90" s="32" t="s">
        <v>91</v>
      </c>
      <c r="G90" s="33">
        <v>0</v>
      </c>
      <c r="H90" s="33">
        <v>0</v>
      </c>
      <c r="I90" s="33">
        <f>Legal198216229301[[#This Row],[Projected 
cost]]-Legal198216229301[[#This Row],[Actual 
cost]]</f>
        <v>0</v>
      </c>
    </row>
    <row r="91" spans="1:10" ht="15.9" x14ac:dyDescent="0.45">
      <c r="A91" s="32" t="s">
        <v>96</v>
      </c>
      <c r="B91" s="33">
        <v>0</v>
      </c>
      <c r="C91" s="33">
        <v>0</v>
      </c>
      <c r="D91" s="33">
        <f>PersonalCare197215228300[[#This Row],[Projected 
cost]]-PersonalCare197215228300[[#This Row],[Actual 
cost]]</f>
        <v>0</v>
      </c>
      <c r="E91" s="28"/>
      <c r="F91" s="32" t="s">
        <v>97</v>
      </c>
      <c r="G91" s="33">
        <v>0</v>
      </c>
      <c r="H91" s="33">
        <v>0</v>
      </c>
      <c r="I91" s="33">
        <f>Legal198216229301[[#This Row],[Projected 
cost]]-Legal198216229301[[#This Row],[Actual 
cost]]</f>
        <v>0</v>
      </c>
    </row>
    <row r="92" spans="1:10" ht="18.45" x14ac:dyDescent="0.45">
      <c r="A92" s="32" t="s">
        <v>98</v>
      </c>
      <c r="B92" s="33">
        <v>0</v>
      </c>
      <c r="C92" s="33">
        <v>0</v>
      </c>
      <c r="D92" s="33">
        <f>PersonalCare197215228300[[#This Row],[Projected 
cost]]-PersonalCare197215228300[[#This Row],[Actual 
cost]]</f>
        <v>0</v>
      </c>
      <c r="E92" s="28"/>
      <c r="F92" s="34" t="s">
        <v>64</v>
      </c>
      <c r="G92" s="35">
        <f>SUM(Legal198216229301[Projected 
cost])</f>
        <v>0</v>
      </c>
      <c r="H92" s="35">
        <f>SUM(Legal198216229301[Actual 
cost])</f>
        <v>0</v>
      </c>
      <c r="I92" s="36">
        <f>SUBTOTAL(109,Legal198216229301[Difference])</f>
        <v>0</v>
      </c>
    </row>
    <row r="93" spans="1:10" ht="15.9" x14ac:dyDescent="0.45">
      <c r="A93" s="32" t="s">
        <v>99</v>
      </c>
      <c r="B93" s="33">
        <v>0</v>
      </c>
      <c r="C93" s="33">
        <v>0</v>
      </c>
      <c r="D93" s="33">
        <f>PersonalCare197215228300[[#This Row],[Projected 
cost]]-PersonalCare197215228300[[#This Row],[Actual 
cost]]</f>
        <v>0</v>
      </c>
      <c r="E93" s="28"/>
      <c r="F93" s="38"/>
      <c r="G93" s="38"/>
      <c r="H93" s="38"/>
      <c r="I93" s="38"/>
    </row>
    <row r="94" spans="1:10" ht="15.9" customHeight="1" x14ac:dyDescent="0.45">
      <c r="A94" s="32" t="s">
        <v>61</v>
      </c>
      <c r="B94" s="33">
        <v>0</v>
      </c>
      <c r="C94" s="33">
        <v>0</v>
      </c>
      <c r="D94" s="33">
        <f>PersonalCare197215228300[[#This Row],[Projected 
cost]]-PersonalCare197215228300[[#This Row],[Actual 
cost]]</f>
        <v>0</v>
      </c>
      <c r="E94" s="28"/>
      <c r="F94" s="67" t="s">
        <v>121</v>
      </c>
      <c r="G94" s="67"/>
      <c r="H94" s="67"/>
      <c r="I94" s="68">
        <f>J59</f>
        <v>0</v>
      </c>
      <c r="J94" s="69" t="s">
        <v>123</v>
      </c>
    </row>
    <row r="95" spans="1:10" ht="18.45" x14ac:dyDescent="0.45">
      <c r="A95" s="34" t="s">
        <v>64</v>
      </c>
      <c r="B95" s="35">
        <f>SUM(PersonalCare197215228300[Projected 
cost])</f>
        <v>0</v>
      </c>
      <c r="C95" s="35">
        <f>SUM(PersonalCare197215228300[Actual 
cost])</f>
        <v>0</v>
      </c>
      <c r="D95" s="36">
        <f>SUBTOTAL(109,PersonalCare197215228300[Difference])</f>
        <v>0</v>
      </c>
      <c r="E95" s="28"/>
      <c r="F95" s="67"/>
      <c r="G95" s="67"/>
      <c r="H95" s="67"/>
      <c r="I95" s="68"/>
      <c r="J95" s="69"/>
    </row>
    <row r="96" spans="1:10" ht="15.9" x14ac:dyDescent="0.45">
      <c r="A96" s="54"/>
      <c r="B96" s="54"/>
      <c r="C96" s="54"/>
      <c r="D96" s="54"/>
      <c r="E96" s="28"/>
      <c r="F96" s="76" t="s">
        <v>100</v>
      </c>
      <c r="G96" s="76"/>
      <c r="H96" s="76"/>
      <c r="I96" s="78">
        <f>SUBTOTAL(109,Housing179205218290[Projected
cost],Transportation183208221293[Projected 
cost],Insurance185209222294[Projected
cost],Food191212225297[Projected 
cost],Pets195214227299[Projected 
cost],PersonalCare197215228300[Projected 
cost],Entertainment180206219291[Projected 
cost],Loans182207220292[Projected 
cost],Taxes187210223295[Projected 
cost],Savings189211224296[Projected 
cost],Gifts193213226298[Projected 
cost],Legal198216229301[Projected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SUBTOTAL(109,Housing179205218290[Actual 
cost],Transportation183208221293[Actual 
cost],Insurance185209222294[Actual 
cost],Food191212225297[Actual 
cost],Pets195214227299[Actual 
cost],PersonalCare197215228300[Actual 
cost],Entertainment180206219291[Actual 
cost],Loans182207220292[Actual 
cost],Taxes187210223295[Actual 
cost],Savings189211224296[Actual 
cost],Gifts193213226298[Actual 
cost],Legal198216229301[Actual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6C110-3CAC-4E40-BF58-5FD324BA4A6D}">
  <sheetPr>
    <tabColor theme="7"/>
  </sheetPr>
  <dimension ref="B1:T65"/>
  <sheetViews>
    <sheetView topLeftCell="A15" zoomScale="62" workbookViewId="0">
      <selection activeCell="F45" sqref="F45"/>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'July Budget'!J55</f>
        <v>0</v>
      </c>
      <c r="D4" s="42">
        <f>'July Budget'!H55</f>
        <v>0</v>
      </c>
      <c r="E4" s="59">
        <v>0</v>
      </c>
      <c r="F4" s="3" t="s">
        <v>107</v>
      </c>
      <c r="G4" s="60" t="s">
        <v>109</v>
      </c>
      <c r="H4" s="7"/>
      <c r="I4" s="7"/>
      <c r="J4" s="7"/>
      <c r="K4" s="7"/>
      <c r="L4" s="7"/>
      <c r="M4" s="7"/>
      <c r="N4" s="7"/>
      <c r="O4" s="7"/>
      <c r="P4" s="2"/>
      <c r="Q4" s="2"/>
      <c r="R4" s="2"/>
      <c r="S4" s="2"/>
      <c r="T4" s="2"/>
    </row>
    <row r="5" spans="2:20" ht="14.6" x14ac:dyDescent="0.4">
      <c r="B5" s="10"/>
      <c r="C5" s="57">
        <f>'July Budget'!J56</f>
        <v>0</v>
      </c>
      <c r="D5" s="42">
        <f>'July Budget'!H56</f>
        <v>0</v>
      </c>
      <c r="E5" s="59"/>
      <c r="F5" s="3" t="s">
        <v>108</v>
      </c>
    </row>
    <row r="6" spans="2:20" ht="14.6" x14ac:dyDescent="0.4">
      <c r="B6" s="10"/>
      <c r="C6" s="57">
        <f>'July Budget'!J57</f>
        <v>0</v>
      </c>
      <c r="D6" s="42">
        <f>'July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'July Budget'!J54</f>
        <v>0</v>
      </c>
      <c r="E45" s="9">
        <v>0</v>
      </c>
      <c r="F45" s="10">
        <f>'July Budget'!H54</f>
        <v>0</v>
      </c>
      <c r="G45" s="3" t="s">
        <v>112</v>
      </c>
    </row>
    <row r="46" spans="2:7" ht="15" customHeight="1" x14ac:dyDescent="0.4">
      <c r="C46" t="s">
        <v>67</v>
      </c>
      <c r="D46" s="10">
        <f>'July Budget'!J53</f>
        <v>0</v>
      </c>
      <c r="F46" s="10">
        <f>'July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4E32E514-EA73-4EB2-9579-996576E5E63F}"/>
    <hyperlink ref="F4" r:id="rId2" xr:uid="{C3DE59F9-8D38-4112-9820-0586E9EC698B}"/>
    <hyperlink ref="F5" r:id="rId3" xr:uid="{7B2EFA64-DFC7-473F-AFEF-58424736D57F}"/>
  </hyperlinks>
  <pageMargins left="0.7" right="0.7" top="0.75" bottom="0.75" header="0.3" footer="0.3"/>
  <drawing r:id="rId4"/>
  <tableParts count="4">
    <tablePart r:id="rId5"/>
    <tablePart r:id="rId6"/>
    <tablePart r:id="rId7"/>
    <tablePart r:id="rId8"/>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EF636-93D7-421D-ABBE-CC24EB007060}">
  <sheetPr>
    <tabColor theme="0"/>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Entertainment180206219291304[[#This Row],[Projected 
cost]]-Entertainment180206219291304[[#This Row],[Actual 
cost]]</f>
        <v>0</v>
      </c>
    </row>
    <row r="40" spans="1:9" ht="15.9" x14ac:dyDescent="0.45">
      <c r="A40" s="31" t="s">
        <v>50</v>
      </c>
      <c r="B40" s="4">
        <v>0</v>
      </c>
      <c r="C40" s="4">
        <v>0</v>
      </c>
      <c r="D40" s="4"/>
      <c r="E40" s="28"/>
      <c r="F40" s="32" t="s">
        <v>51</v>
      </c>
      <c r="G40" s="33">
        <v>0</v>
      </c>
      <c r="H40" s="33">
        <v>0</v>
      </c>
      <c r="I40" s="33">
        <f>Entertainment180206219291304[[#This Row],[Projected 
cost]]-Entertainment180206219291304[[#This Row],[Actual 
cost]]</f>
        <v>0</v>
      </c>
    </row>
    <row r="41" spans="1:9" ht="15.9" x14ac:dyDescent="0.45">
      <c r="A41" s="31" t="s">
        <v>52</v>
      </c>
      <c r="B41" s="4">
        <v>0</v>
      </c>
      <c r="C41" s="4">
        <v>0</v>
      </c>
      <c r="D41" s="4"/>
      <c r="E41" s="28"/>
      <c r="F41" s="32" t="s">
        <v>53</v>
      </c>
      <c r="G41" s="33">
        <v>0</v>
      </c>
      <c r="H41" s="33">
        <v>0</v>
      </c>
      <c r="I41" s="33">
        <f>Entertainment180206219291304[[#This Row],[Projected 
cost]]-Entertainment180206219291304[[#This Row],[Actual 
cost]]</f>
        <v>0</v>
      </c>
    </row>
    <row r="42" spans="1:9" ht="15.9" x14ac:dyDescent="0.45">
      <c r="A42" s="31" t="s">
        <v>54</v>
      </c>
      <c r="B42" s="4">
        <v>0</v>
      </c>
      <c r="C42" s="4">
        <v>0</v>
      </c>
      <c r="D42" s="4"/>
      <c r="E42" s="28"/>
      <c r="F42" s="32" t="s">
        <v>55</v>
      </c>
      <c r="G42" s="33">
        <v>0</v>
      </c>
      <c r="H42" s="33">
        <v>0</v>
      </c>
      <c r="I42" s="33">
        <f>Entertainment180206219291304[[#This Row],[Projected 
cost]]-Entertainment180206219291304[[#This Row],[Actual 
cost]]</f>
        <v>0</v>
      </c>
    </row>
    <row r="43" spans="1:9" ht="15.9" x14ac:dyDescent="0.45">
      <c r="A43" s="31" t="s">
        <v>56</v>
      </c>
      <c r="B43" s="4">
        <v>0</v>
      </c>
      <c r="C43" s="4">
        <v>0</v>
      </c>
      <c r="D43" s="4"/>
      <c r="E43" s="28"/>
      <c r="F43" s="32" t="s">
        <v>57</v>
      </c>
      <c r="G43" s="33">
        <v>0</v>
      </c>
      <c r="H43" s="33">
        <v>0</v>
      </c>
      <c r="I43" s="33">
        <f>Entertainment180206219291304[[#This Row],[Projected 
cost]]-Entertainment180206219291304[[#This Row],[Actual 
cost]]</f>
        <v>0</v>
      </c>
    </row>
    <row r="44" spans="1:9" ht="15.9" x14ac:dyDescent="0.45">
      <c r="A44" s="31" t="s">
        <v>58</v>
      </c>
      <c r="B44" s="4">
        <v>0</v>
      </c>
      <c r="C44" s="4">
        <v>0</v>
      </c>
      <c r="D44" s="4"/>
      <c r="E44" s="28"/>
      <c r="F44" s="32" t="s">
        <v>59</v>
      </c>
      <c r="G44" s="33">
        <v>0</v>
      </c>
      <c r="H44" s="33">
        <v>0</v>
      </c>
      <c r="I44" s="33">
        <f>Entertainment180206219291304[[#This Row],[Projected 
cost]]-Entertainment180206219291304[[#This Row],[Actual 
cost]]</f>
        <v>0</v>
      </c>
    </row>
    <row r="45" spans="1:9" ht="15.9" x14ac:dyDescent="0.45">
      <c r="A45" s="31" t="s">
        <v>60</v>
      </c>
      <c r="B45" s="4">
        <v>0</v>
      </c>
      <c r="C45" s="4">
        <v>0</v>
      </c>
      <c r="D45" s="4"/>
      <c r="E45" s="28"/>
      <c r="F45" s="32" t="s">
        <v>61</v>
      </c>
      <c r="G45" s="33">
        <v>0</v>
      </c>
      <c r="H45" s="33">
        <v>0</v>
      </c>
      <c r="I45" s="33">
        <f>Entertainment180206219291304[[#This Row],[Projected 
cost]]-Entertainment180206219291304[[#This Row],[Actual 
cost]]</f>
        <v>0</v>
      </c>
    </row>
    <row r="46" spans="1:9" ht="15.9" x14ac:dyDescent="0.45">
      <c r="A46" s="31" t="s">
        <v>62</v>
      </c>
      <c r="B46" s="4">
        <v>0</v>
      </c>
      <c r="C46" s="4">
        <v>0</v>
      </c>
      <c r="D46" s="4"/>
      <c r="E46" s="28"/>
      <c r="F46" s="32" t="s">
        <v>61</v>
      </c>
      <c r="G46" s="33">
        <v>0</v>
      </c>
      <c r="H46" s="33">
        <v>0</v>
      </c>
      <c r="I46" s="33">
        <f>Entertainment180206219291304[[#This Row],[Projected 
cost]]-Entertainment180206219291304[[#This Row],[Actual 
cost]]</f>
        <v>0</v>
      </c>
    </row>
    <row r="47" spans="1:9" ht="15.9" x14ac:dyDescent="0.45">
      <c r="A47" s="31" t="s">
        <v>63</v>
      </c>
      <c r="B47" s="4">
        <v>0</v>
      </c>
      <c r="C47" s="4">
        <v>0</v>
      </c>
      <c r="D47" s="4"/>
      <c r="E47" s="28"/>
      <c r="F47" s="32" t="s">
        <v>61</v>
      </c>
      <c r="G47" s="33">
        <v>0</v>
      </c>
      <c r="H47" s="33">
        <v>0</v>
      </c>
      <c r="I47" s="33">
        <f>Entertainment180206219291304[[#This Row],[Projected 
cost]]-Entertainment180206219291304[[#This Row],[Actual 
cost]]</f>
        <v>0</v>
      </c>
    </row>
    <row r="48" spans="1:9" ht="18.45" x14ac:dyDescent="0.45">
      <c r="A48" s="31" t="s">
        <v>61</v>
      </c>
      <c r="B48" s="4">
        <v>0</v>
      </c>
      <c r="C48" s="4">
        <v>0</v>
      </c>
      <c r="D48" s="4"/>
      <c r="E48" s="28"/>
      <c r="F48" s="34" t="s">
        <v>64</v>
      </c>
      <c r="G48" s="35">
        <f>SUM(Entertainment180206219291304[Projected 
cost])</f>
        <v>0</v>
      </c>
      <c r="H48" s="35">
        <f>SUM(Entertainment180206219291304[Actual 
cost])</f>
        <v>0</v>
      </c>
      <c r="I48" s="36">
        <f>SUBTOTAL(109,Entertainment180206219291304[Difference])</f>
        <v>0</v>
      </c>
    </row>
    <row r="49" spans="1:10" ht="18.45" x14ac:dyDescent="0.45">
      <c r="A49" s="37" t="s">
        <v>64</v>
      </c>
      <c r="B49" s="4">
        <f>SUM(Housing179205218290303[Projected
cost])</f>
        <v>0</v>
      </c>
      <c r="C49" s="4">
        <f>SUM(Housing179205218290303[Actual 
cost])</f>
        <v>0</v>
      </c>
      <c r="D49" s="4">
        <f>SUBTOTAL(109,Housing179205218290303[Difference])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Transportation183208221293306[[#This Row],[Projected 
cost]]-Transportation183208221293306[[#This Row],[Actual 
cost]]</f>
        <v>0</v>
      </c>
      <c r="E53" s="28"/>
      <c r="F53" s="32" t="s">
        <v>67</v>
      </c>
      <c r="G53" s="33">
        <v>0</v>
      </c>
      <c r="H53" s="33">
        <v>0</v>
      </c>
      <c r="I53" s="33">
        <f>Loans182207220292305[[#This Row],[Projected 
cost]]-Loans182207220292305[[#This Row],[Actual 
cost]]</f>
        <v>0</v>
      </c>
      <c r="J53" s="42">
        <v>0</v>
      </c>
    </row>
    <row r="54" spans="1:10" ht="15.9" x14ac:dyDescent="0.45">
      <c r="A54" s="32" t="s">
        <v>68</v>
      </c>
      <c r="B54" s="33">
        <v>0</v>
      </c>
      <c r="C54" s="33">
        <v>0</v>
      </c>
      <c r="D54" s="33">
        <f>Transportation183208221293306[[#This Row],[Projected 
cost]]-Transportation183208221293306[[#This Row],[Actual 
cost]]</f>
        <v>0</v>
      </c>
      <c r="E54" s="28"/>
      <c r="F54" s="32" t="s">
        <v>69</v>
      </c>
      <c r="G54" s="33">
        <v>0</v>
      </c>
      <c r="H54" s="33">
        <v>0</v>
      </c>
      <c r="I54" s="33">
        <f>Loans182207220292305[[#This Row],[Projected 
cost]]-Loans182207220292305[[#This Row],[Actual 
cost]]</f>
        <v>0</v>
      </c>
      <c r="J54" s="42">
        <v>0</v>
      </c>
    </row>
    <row r="55" spans="1:10" ht="15.9" x14ac:dyDescent="0.45">
      <c r="A55" s="32" t="s">
        <v>70</v>
      </c>
      <c r="B55" s="33">
        <v>0</v>
      </c>
      <c r="C55" s="33">
        <v>0</v>
      </c>
      <c r="D55" s="33">
        <f>Transportation183208221293306[[#This Row],[Projected 
cost]]-Transportation183208221293306[[#This Row],[Actual 
cost]]</f>
        <v>0</v>
      </c>
      <c r="E55" s="28"/>
      <c r="F55" s="32" t="s">
        <v>71</v>
      </c>
      <c r="G55" s="33">
        <v>0</v>
      </c>
      <c r="H55" s="33">
        <v>0</v>
      </c>
      <c r="I55" s="33">
        <f>Loans182207220292305[[#This Row],[Projected 
cost]]-Loans182207220292305[[#This Row],[Actual 
cost]]</f>
        <v>0</v>
      </c>
      <c r="J55" s="42">
        <v>0</v>
      </c>
    </row>
    <row r="56" spans="1:10" ht="15.9" x14ac:dyDescent="0.45">
      <c r="A56" s="32" t="s">
        <v>72</v>
      </c>
      <c r="B56" s="33">
        <v>0</v>
      </c>
      <c r="C56" s="33">
        <v>0</v>
      </c>
      <c r="D56" s="33">
        <f>Transportation183208221293306[[#This Row],[Projected 
cost]]-Transportation183208221293306[[#This Row],[Actual 
cost]]</f>
        <v>0</v>
      </c>
      <c r="E56" s="28"/>
      <c r="F56" s="32" t="s">
        <v>71</v>
      </c>
      <c r="G56" s="33">
        <v>0</v>
      </c>
      <c r="H56" s="33">
        <v>0</v>
      </c>
      <c r="I56" s="33">
        <f>Loans182207220292305[[#This Row],[Projected 
cost]]-Loans182207220292305[[#This Row],[Actual 
cost]]</f>
        <v>0</v>
      </c>
      <c r="J56" s="42">
        <v>0</v>
      </c>
    </row>
    <row r="57" spans="1:10" ht="15.9" x14ac:dyDescent="0.45">
      <c r="A57" s="32" t="s">
        <v>73</v>
      </c>
      <c r="B57" s="33">
        <v>0</v>
      </c>
      <c r="C57" s="33">
        <v>0</v>
      </c>
      <c r="D57" s="33">
        <f>Transportation183208221293306[[#This Row],[Projected 
cost]]-Transportation183208221293306[[#This Row],[Actual 
cost]]</f>
        <v>0</v>
      </c>
      <c r="E57" s="28"/>
      <c r="F57" s="32" t="s">
        <v>71</v>
      </c>
      <c r="G57" s="33">
        <v>0</v>
      </c>
      <c r="H57" s="33">
        <v>0</v>
      </c>
      <c r="I57" s="33">
        <f>Loans182207220292305[[#This Row],[Projected 
cost]]-Loans182207220292305[[#This Row],[Actual 
cost]]</f>
        <v>0</v>
      </c>
      <c r="J57" s="42">
        <v>0</v>
      </c>
    </row>
    <row r="58" spans="1:10" ht="15.9" x14ac:dyDescent="0.45">
      <c r="A58" s="32" t="s">
        <v>74</v>
      </c>
      <c r="B58" s="33">
        <v>0</v>
      </c>
      <c r="C58" s="33">
        <v>0</v>
      </c>
      <c r="D58" s="33">
        <f>Transportation183208221293306[[#This Row],[Projected 
cost]]-Transportation183208221293306[[#This Row],[Actual 
cost]]</f>
        <v>0</v>
      </c>
      <c r="E58" s="28"/>
      <c r="F58" s="32" t="s">
        <v>61</v>
      </c>
      <c r="G58" s="33">
        <v>0</v>
      </c>
      <c r="H58" s="33">
        <v>0</v>
      </c>
      <c r="I58" s="33">
        <f>Loans182207220292305[[#This Row],[Projected 
cost]]-Loans182207220292305[[#This Row],[Actual 
cost]]</f>
        <v>0</v>
      </c>
      <c r="J58" s="42">
        <v>0</v>
      </c>
    </row>
    <row r="59" spans="1:10" ht="18.45" x14ac:dyDescent="0.45">
      <c r="A59" s="32" t="s">
        <v>61</v>
      </c>
      <c r="B59" s="33">
        <v>0</v>
      </c>
      <c r="C59" s="33">
        <v>0</v>
      </c>
      <c r="D59" s="33">
        <f>Transportation183208221293306[[#This Row],[Projected 
cost]]-Transportation183208221293306[[#This Row],[Actual 
cost]]</f>
        <v>0</v>
      </c>
      <c r="E59" s="28"/>
      <c r="F59" s="34" t="s">
        <v>64</v>
      </c>
      <c r="G59" s="35">
        <f>SUM(Loans182207220292305[Projected 
cost])</f>
        <v>0</v>
      </c>
      <c r="H59" s="35">
        <f>SUM(Loans182207220292305[Actual 
cost])</f>
        <v>0</v>
      </c>
      <c r="I59" s="36">
        <f>SUBTOTAL(109,Loans182207220292305[Difference])</f>
        <v>0</v>
      </c>
      <c r="J59" s="43">
        <f>SUM(J53:J58)</f>
        <v>0</v>
      </c>
    </row>
    <row r="60" spans="1:10" ht="18.45" x14ac:dyDescent="0.45">
      <c r="A60" s="34" t="s">
        <v>64</v>
      </c>
      <c r="B60" s="35">
        <f>SUM(Transportation183208221293306[Projected 
cost])</f>
        <v>0</v>
      </c>
      <c r="C60" s="35">
        <f>SUM(Transportation183208221293306[Actual 
cost])</f>
        <v>0</v>
      </c>
      <c r="D60" s="36">
        <f>SUBTOTAL(109,Transportation183208221293306[Difference])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Insurance185209222294307[[#This Row],[Projected
cost]]-Insurance185209222294307[[#This Row],[Actual 
cost]]</f>
        <v>0</v>
      </c>
      <c r="E64" s="28"/>
      <c r="F64" s="32" t="s">
        <v>76</v>
      </c>
      <c r="G64" s="33">
        <v>0</v>
      </c>
      <c r="H64" s="33">
        <v>0</v>
      </c>
      <c r="I64" s="33">
        <f>Taxes187210223295308[[#This Row],[Projected 
cost]]-Taxes187210223295308[[#This Row],[Actual 
cost]]</f>
        <v>0</v>
      </c>
    </row>
    <row r="65" spans="1:9" ht="15.9" x14ac:dyDescent="0.45">
      <c r="A65" s="32" t="s">
        <v>77</v>
      </c>
      <c r="B65" s="33">
        <v>0</v>
      </c>
      <c r="C65" s="33">
        <v>0</v>
      </c>
      <c r="D65" s="33">
        <f>Insurance185209222294307[[#This Row],[Projected
cost]]-Insurance185209222294307[[#This Row],[Actual 
cost]]</f>
        <v>0</v>
      </c>
      <c r="E65" s="28"/>
      <c r="F65" s="32" t="s">
        <v>78</v>
      </c>
      <c r="G65" s="33">
        <v>0</v>
      </c>
      <c r="H65" s="33">
        <v>0</v>
      </c>
      <c r="I65" s="33">
        <f>Taxes187210223295308[[#This Row],[Projected 
cost]]-Taxes187210223295308[[#This Row],[Actual 
cost]]</f>
        <v>0</v>
      </c>
    </row>
    <row r="66" spans="1:9" ht="15.9" x14ac:dyDescent="0.45">
      <c r="A66" s="32" t="s">
        <v>79</v>
      </c>
      <c r="B66" s="33">
        <v>0</v>
      </c>
      <c r="C66" s="33">
        <v>0</v>
      </c>
      <c r="D66" s="33">
        <f>Insurance185209222294307[[#This Row],[Projected
cost]]-Insurance185209222294307[[#This Row],[Actual 
cost]]</f>
        <v>0</v>
      </c>
      <c r="E66" s="28"/>
      <c r="F66" s="32" t="s">
        <v>80</v>
      </c>
      <c r="G66" s="33">
        <v>0</v>
      </c>
      <c r="H66" s="33">
        <v>0</v>
      </c>
      <c r="I66" s="33">
        <f>Taxes187210223295308[[#This Row],[Projected 
cost]]-Taxes187210223295308[[#This Row],[Actual 
cost]]</f>
        <v>0</v>
      </c>
    </row>
    <row r="67" spans="1:9" ht="15.9" x14ac:dyDescent="0.45">
      <c r="A67" s="32" t="s">
        <v>61</v>
      </c>
      <c r="B67" s="33">
        <v>0</v>
      </c>
      <c r="C67" s="33">
        <v>0</v>
      </c>
      <c r="D67" s="33">
        <f>Insurance185209222294307[[#This Row],[Projected
cost]]-Insurance185209222294307[[#This Row],[Actual 
cost]]</f>
        <v>0</v>
      </c>
      <c r="E67" s="28"/>
      <c r="F67" s="32" t="s">
        <v>61</v>
      </c>
      <c r="G67" s="33">
        <v>0</v>
      </c>
      <c r="H67" s="33">
        <v>0</v>
      </c>
      <c r="I67" s="33">
        <f>Taxes187210223295308[[#This Row],[Projected 
cost]]-Taxes187210223295308[[#This Row],[Actual 
cost]]</f>
        <v>0</v>
      </c>
    </row>
    <row r="68" spans="1:9" ht="18.45" x14ac:dyDescent="0.45">
      <c r="A68" s="34" t="s">
        <v>64</v>
      </c>
      <c r="B68" s="35" t="s">
        <v>122</v>
      </c>
      <c r="C68" s="35">
        <f>SUM(Insurance185209222294307[Actual 
cost])</f>
        <v>0</v>
      </c>
      <c r="D68" s="36">
        <f>SUBTOTAL(109,Insurance185209222294307[Difference])</f>
        <v>0</v>
      </c>
      <c r="E68" s="28"/>
      <c r="F68" s="34" t="s">
        <v>64</v>
      </c>
      <c r="G68" s="35">
        <f>SUM(Taxes187210223295308[Projected 
cost])</f>
        <v>0</v>
      </c>
      <c r="H68" s="35">
        <f>SUM(Taxes187210223295308[Actual 
cost])</f>
        <v>0</v>
      </c>
      <c r="I68" s="36">
        <f>SUBTOTAL(109,Taxes187210223295308[Difference])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Food191212225297310[[#This Row],[Projected 
cost]]-Food191212225297310[[#This Row],[Actual 
cost]]</f>
        <v>0</v>
      </c>
      <c r="E72" s="28"/>
      <c r="F72" s="32" t="s">
        <v>83</v>
      </c>
      <c r="G72" s="33">
        <v>0</v>
      </c>
      <c r="H72" s="33">
        <v>0</v>
      </c>
      <c r="I72" s="33">
        <f>Savings189211224296309[[#This Row],[Projected 
cost]]-Savings189211224296309[[#This Row],[Actual 
cost]]</f>
        <v>0</v>
      </c>
    </row>
    <row r="73" spans="1:9" ht="15.9" x14ac:dyDescent="0.45">
      <c r="A73" s="32" t="s">
        <v>84</v>
      </c>
      <c r="B73" s="33">
        <v>0</v>
      </c>
      <c r="C73" s="33">
        <v>0</v>
      </c>
      <c r="D73" s="33">
        <f>Food191212225297310[[#This Row],[Projected 
cost]]-Food191212225297310[[#This Row],[Actual 
cost]]</f>
        <v>0</v>
      </c>
      <c r="E73" s="28"/>
      <c r="F73" s="32" t="s">
        <v>85</v>
      </c>
      <c r="G73" s="33">
        <v>0</v>
      </c>
      <c r="H73" s="33">
        <v>0</v>
      </c>
      <c r="I73" s="33">
        <f>Savings189211224296309[[#This Row],[Projected 
cost]]-Savings189211224296309[[#This Row],[Actual 
cost]]</f>
        <v>0</v>
      </c>
    </row>
    <row r="74" spans="1:9" ht="15.9" x14ac:dyDescent="0.45">
      <c r="A74" s="32" t="s">
        <v>61</v>
      </c>
      <c r="B74" s="33">
        <v>0</v>
      </c>
      <c r="C74" s="33">
        <v>0</v>
      </c>
      <c r="D74" s="33">
        <f>Food191212225297310[[#This Row],[Projected 
cost]]-Food191212225297310[[#This Row],[Actual 
cost]]</f>
        <v>0</v>
      </c>
      <c r="E74" s="28"/>
      <c r="F74" s="32" t="s">
        <v>61</v>
      </c>
      <c r="G74" s="33">
        <v>0</v>
      </c>
      <c r="H74" s="33">
        <v>0</v>
      </c>
      <c r="I74" s="33">
        <f>Savings189211224296309[[#This Row],[Projected 
cost]]-Savings189211224296309[[#This Row],[Actual 
cost]]</f>
        <v>0</v>
      </c>
    </row>
    <row r="75" spans="1:9" ht="18.45" x14ac:dyDescent="0.45">
      <c r="A75" s="34" t="s">
        <v>64</v>
      </c>
      <c r="B75" s="35">
        <f>SUM(Food191212225297310[Projected 
cost])</f>
        <v>0</v>
      </c>
      <c r="C75" s="35">
        <f>SUM(Food191212225297310[Actual 
cost])</f>
        <v>0</v>
      </c>
      <c r="D75" s="36">
        <f>SUBTOTAL(109,Food191212225297310[Difference])</f>
        <v>0</v>
      </c>
      <c r="E75" s="28"/>
      <c r="F75" s="34" t="s">
        <v>64</v>
      </c>
      <c r="G75" s="35">
        <f>SUM(Savings189211224296309[Projected 
cost])</f>
        <v>0</v>
      </c>
      <c r="H75" s="35">
        <f>SUM(Savings189211224296309[Actual 
cost])</f>
        <v>0</v>
      </c>
      <c r="I75" s="36">
        <f>SUBTOTAL(109,Savings189211224296309[Difference])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Pets195214227299312[[#This Row],[Projected 
cost]]-Pets195214227299312[[#This Row],[Actual 
cost]]</f>
        <v>0</v>
      </c>
      <c r="E79" s="28"/>
      <c r="F79" s="32" t="s">
        <v>87</v>
      </c>
      <c r="G79" s="33">
        <v>0</v>
      </c>
      <c r="H79" s="33">
        <v>0</v>
      </c>
      <c r="I79" s="33">
        <f>Gifts193213226298311[[#This Row],[Projected 
cost]]-Gifts193213226298311[[#This Row],[Actual 
cost]]</f>
        <v>0</v>
      </c>
    </row>
    <row r="80" spans="1:9" ht="15.9" x14ac:dyDescent="0.45">
      <c r="A80" s="32" t="s">
        <v>88</v>
      </c>
      <c r="B80" s="33">
        <v>0</v>
      </c>
      <c r="C80" s="33">
        <v>0</v>
      </c>
      <c r="D80" s="33">
        <f>Pets195214227299312[[#This Row],[Projected 
cost]]-Pets195214227299312[[#This Row],[Actual 
cost]]</f>
        <v>0</v>
      </c>
      <c r="E80" s="28"/>
      <c r="F80" s="32" t="s">
        <v>89</v>
      </c>
      <c r="G80" s="33">
        <v>0</v>
      </c>
      <c r="H80" s="33">
        <v>0</v>
      </c>
      <c r="I80" s="33">
        <f>Gifts193213226298311[[#This Row],[Projected 
cost]]-Gifts193213226298311[[#This Row],[Actual 
cost]]</f>
        <v>0</v>
      </c>
    </row>
    <row r="81" spans="1:10" ht="15.9" x14ac:dyDescent="0.45">
      <c r="A81" s="32" t="s">
        <v>90</v>
      </c>
      <c r="B81" s="33">
        <v>0</v>
      </c>
      <c r="C81" s="33">
        <v>0</v>
      </c>
      <c r="D81" s="33">
        <f>Pets195214227299312[[#This Row],[Projected 
cost]]-Pets195214227299312[[#This Row],[Actual 
cost]]</f>
        <v>0</v>
      </c>
      <c r="E81" s="28"/>
      <c r="F81" s="32" t="s">
        <v>91</v>
      </c>
      <c r="G81" s="33">
        <v>0</v>
      </c>
      <c r="H81" s="33">
        <v>0</v>
      </c>
      <c r="I81" s="33">
        <f>Gifts193213226298311[[#This Row],[Projected 
cost]]-Gifts193213226298311[[#This Row],[Actual 
cost]]</f>
        <v>0</v>
      </c>
    </row>
    <row r="82" spans="1:10" ht="18.45" x14ac:dyDescent="0.45">
      <c r="A82" s="32" t="s">
        <v>92</v>
      </c>
      <c r="B82" s="33">
        <v>0</v>
      </c>
      <c r="C82" s="33">
        <v>0</v>
      </c>
      <c r="D82" s="33">
        <f>Pets195214227299312[[#This Row],[Projected 
cost]]-Pets195214227299312[[#This Row],[Actual 
cost]]</f>
        <v>0</v>
      </c>
      <c r="E82" s="28"/>
      <c r="F82" s="34" t="s">
        <v>64</v>
      </c>
      <c r="G82" s="35">
        <f>SUM(Gifts193213226298311[Projected 
cost])</f>
        <v>0</v>
      </c>
      <c r="H82" s="35">
        <f>SUM(Gifts193213226298311[Actual 
cost])</f>
        <v>0</v>
      </c>
      <c r="I82" s="36">
        <f>SUBTOTAL(109,Gifts193213226298311[Difference])</f>
        <v>0</v>
      </c>
    </row>
    <row r="83" spans="1:10" ht="18.45" x14ac:dyDescent="0.45">
      <c r="A83" s="32" t="s">
        <v>61</v>
      </c>
      <c r="B83" s="33">
        <v>0</v>
      </c>
      <c r="C83" s="33">
        <v>0</v>
      </c>
      <c r="D83" s="33">
        <f>Pets195214227299312[[#This Row],[Projected 
cost]]-Pets195214227299312[[#This Row],[Actual 
cost]]</f>
        <v>0</v>
      </c>
      <c r="E83" s="28"/>
      <c r="F83" s="39"/>
      <c r="G83" s="46"/>
      <c r="H83" s="46"/>
      <c r="I83" s="33"/>
    </row>
    <row r="84" spans="1:10" ht="18.45" x14ac:dyDescent="0.45">
      <c r="A84" s="34" t="s">
        <v>64</v>
      </c>
      <c r="B84" s="51">
        <f>SUM(Pets195214227299312[Projected 
cost])</f>
        <v>0</v>
      </c>
      <c r="C84" s="51">
        <f>SUM(Pets195214227299312[Actual 
cost])</f>
        <v>0</v>
      </c>
      <c r="D84" s="51">
        <f>SUBTOTAL(109,Pets195214227299312[Difference])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PersonalCare197215228300313[[#This Row],[Projected 
cost]]-PersonalCare197215228300313[[#This Row],[Actual 
cost]]</f>
        <v>0</v>
      </c>
      <c r="E88" s="28"/>
      <c r="F88" s="32" t="s">
        <v>87</v>
      </c>
      <c r="G88" s="33">
        <v>0</v>
      </c>
      <c r="H88" s="33">
        <v>0</v>
      </c>
      <c r="I88" s="33">
        <f>Legal198216229301314[[#This Row],[Projected 
cost]]-Legal198216229301314[[#This Row],[Actual 
cost]]</f>
        <v>0</v>
      </c>
    </row>
    <row r="89" spans="1:10" ht="15.9" x14ac:dyDescent="0.45">
      <c r="A89" s="32" t="s">
        <v>94</v>
      </c>
      <c r="B89" s="33">
        <v>0</v>
      </c>
      <c r="C89" s="33">
        <v>0</v>
      </c>
      <c r="D89" s="33">
        <f>PersonalCare197215228300313[[#This Row],[Projected 
cost]]-PersonalCare197215228300313[[#This Row],[Actual 
cost]]</f>
        <v>0</v>
      </c>
      <c r="E89" s="28"/>
      <c r="F89" s="32" t="s">
        <v>89</v>
      </c>
      <c r="G89" s="33">
        <v>0</v>
      </c>
      <c r="H89" s="33">
        <v>0</v>
      </c>
      <c r="I89" s="33">
        <f>Legal198216229301314[[#This Row],[Projected 
cost]]-Legal198216229301314[[#This Row],[Actual 
cost]]</f>
        <v>0</v>
      </c>
    </row>
    <row r="90" spans="1:10" ht="15.9" x14ac:dyDescent="0.45">
      <c r="A90" s="32" t="s">
        <v>95</v>
      </c>
      <c r="B90" s="33">
        <v>0</v>
      </c>
      <c r="C90" s="33">
        <v>0</v>
      </c>
      <c r="D90" s="33">
        <f>PersonalCare197215228300313[[#This Row],[Projected 
cost]]-PersonalCare197215228300313[[#This Row],[Actual 
cost]]</f>
        <v>0</v>
      </c>
      <c r="E90" s="28"/>
      <c r="F90" s="32" t="s">
        <v>91</v>
      </c>
      <c r="G90" s="33">
        <v>0</v>
      </c>
      <c r="H90" s="33">
        <v>0</v>
      </c>
      <c r="I90" s="33">
        <f>Legal198216229301314[[#This Row],[Projected 
cost]]-Legal198216229301314[[#This Row],[Actual 
cost]]</f>
        <v>0</v>
      </c>
    </row>
    <row r="91" spans="1:10" ht="15.9" x14ac:dyDescent="0.45">
      <c r="A91" s="32" t="s">
        <v>96</v>
      </c>
      <c r="B91" s="33">
        <v>0</v>
      </c>
      <c r="C91" s="33">
        <v>0</v>
      </c>
      <c r="D91" s="33">
        <f>PersonalCare197215228300313[[#This Row],[Projected 
cost]]-PersonalCare197215228300313[[#This Row],[Actual 
cost]]</f>
        <v>0</v>
      </c>
      <c r="E91" s="28"/>
      <c r="F91" s="32" t="s">
        <v>97</v>
      </c>
      <c r="G91" s="33">
        <v>0</v>
      </c>
      <c r="H91" s="33">
        <v>0</v>
      </c>
      <c r="I91" s="33">
        <f>Legal198216229301314[[#This Row],[Projected 
cost]]-Legal198216229301314[[#This Row],[Actual 
cost]]</f>
        <v>0</v>
      </c>
    </row>
    <row r="92" spans="1:10" ht="18.45" x14ac:dyDescent="0.45">
      <c r="A92" s="32" t="s">
        <v>98</v>
      </c>
      <c r="B92" s="33">
        <v>0</v>
      </c>
      <c r="C92" s="33">
        <v>0</v>
      </c>
      <c r="D92" s="33">
        <f>PersonalCare197215228300313[[#This Row],[Projected 
cost]]-PersonalCare197215228300313[[#This Row],[Actual 
cost]]</f>
        <v>0</v>
      </c>
      <c r="E92" s="28"/>
      <c r="F92" s="34" t="s">
        <v>64</v>
      </c>
      <c r="G92" s="35">
        <f>SUM(Legal198216229301314[Projected 
cost])</f>
        <v>0</v>
      </c>
      <c r="H92" s="35">
        <f>SUM(Legal198216229301314[Actual 
cost])</f>
        <v>0</v>
      </c>
      <c r="I92" s="36">
        <f>SUBTOTAL(109,Legal198216229301314[Difference])</f>
        <v>0</v>
      </c>
    </row>
    <row r="93" spans="1:10" ht="15.9" x14ac:dyDescent="0.45">
      <c r="A93" s="32" t="s">
        <v>99</v>
      </c>
      <c r="B93" s="33">
        <v>0</v>
      </c>
      <c r="C93" s="33">
        <v>0</v>
      </c>
      <c r="D93" s="33">
        <f>PersonalCare197215228300313[[#This Row],[Projected 
cost]]-PersonalCare197215228300313[[#This Row],[Actual 
cost]]</f>
        <v>0</v>
      </c>
      <c r="E93" s="28"/>
      <c r="F93" s="38"/>
      <c r="G93" s="38"/>
      <c r="H93" s="38"/>
      <c r="I93" s="38"/>
    </row>
    <row r="94" spans="1:10" ht="15.9" customHeight="1" x14ac:dyDescent="0.45">
      <c r="A94" s="32" t="s">
        <v>61</v>
      </c>
      <c r="B94" s="33">
        <v>0</v>
      </c>
      <c r="C94" s="33">
        <v>0</v>
      </c>
      <c r="D94" s="33">
        <f>PersonalCare197215228300313[[#This Row],[Projected 
cost]]-PersonalCare197215228300313[[#This Row],[Actual 
cost]]</f>
        <v>0</v>
      </c>
      <c r="E94" s="28"/>
      <c r="F94" s="67" t="s">
        <v>121</v>
      </c>
      <c r="G94" s="67"/>
      <c r="H94" s="67"/>
      <c r="I94" s="68">
        <f>J59</f>
        <v>0</v>
      </c>
      <c r="J94" s="69" t="s">
        <v>123</v>
      </c>
    </row>
    <row r="95" spans="1:10" ht="18.45" x14ac:dyDescent="0.45">
      <c r="A95" s="34" t="s">
        <v>64</v>
      </c>
      <c r="B95" s="35">
        <f>SUM(PersonalCare197215228300313[Projected 
cost])</f>
        <v>0</v>
      </c>
      <c r="C95" s="35">
        <f>SUM(PersonalCare197215228300313[Actual 
cost])</f>
        <v>0</v>
      </c>
      <c r="D95" s="36">
        <f>SUBTOTAL(109,PersonalCare197215228300313[Difference])</f>
        <v>0</v>
      </c>
      <c r="E95" s="28"/>
      <c r="F95" s="67"/>
      <c r="G95" s="67"/>
      <c r="H95" s="67"/>
      <c r="I95" s="68"/>
      <c r="J95" s="69"/>
    </row>
    <row r="96" spans="1:10" ht="15.9" x14ac:dyDescent="0.45">
      <c r="A96" s="54"/>
      <c r="B96" s="54"/>
      <c r="C96" s="54"/>
      <c r="D96" s="54"/>
      <c r="E96" s="28"/>
      <c r="F96" s="76" t="s">
        <v>100</v>
      </c>
      <c r="G96" s="76"/>
      <c r="H96" s="76"/>
      <c r="I96" s="78">
        <f>SUBTOTAL(109,Housing179205218290303[Projected
cost],Transportation183208221293306[Projected 
cost],Insurance185209222294307[Projected
cost],Food191212225297310[Projected 
cost],Pets195214227299312[Projected 
cost],PersonalCare197215228300313[Projected 
cost],Entertainment180206219291304[Projected 
cost],Loans182207220292305[Projected 
cost],Taxes187210223295308[Projected 
cost],Savings189211224296309[Projected 
cost],Gifts193213226298311[Projected 
cost],Legal198216229301314[Projected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SUBTOTAL(109,Housing179205218290303[Actual 
cost],Transportation183208221293306[Actual 
cost],Insurance185209222294307[Actual 
cost],Food191212225297310[Actual 
cost],Pets195214227299312[Actual 
cost],PersonalCare197215228300313[Actual 
cost],Entertainment180206219291304[Actual 
cost],Loans182207220292305[Actual 
cost],Taxes187210223295308[Actual 
cost],Savings189211224296309[Actual 
cost],Gifts193213226298311[Actual 
cost],Legal198216229301314[Actual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8AE15D-3ACE-46A6-BAF4-8BCB9B3D2A6C}">
  <sheetPr>
    <tabColor theme="0"/>
  </sheetPr>
  <dimension ref="B1:T65"/>
  <sheetViews>
    <sheetView zoomScale="62" workbookViewId="0">
      <selection activeCell="D6" sqref="D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'August Budget'!J55</f>
        <v>0</v>
      </c>
      <c r="D4" s="42">
        <f>'August Budget'!H55</f>
        <v>0</v>
      </c>
      <c r="E4" s="59">
        <v>0</v>
      </c>
      <c r="F4" s="3" t="s">
        <v>107</v>
      </c>
      <c r="G4" s="60" t="s">
        <v>109</v>
      </c>
      <c r="H4" s="7"/>
      <c r="I4" s="7"/>
      <c r="J4" s="7"/>
      <c r="K4" s="7"/>
      <c r="L4" s="7"/>
      <c r="M4" s="7"/>
      <c r="N4" s="7"/>
      <c r="O4" s="7"/>
      <c r="P4" s="2"/>
      <c r="Q4" s="2"/>
      <c r="R4" s="2"/>
      <c r="S4" s="2"/>
      <c r="T4" s="2"/>
    </row>
    <row r="5" spans="2:20" ht="14.6" x14ac:dyDescent="0.4">
      <c r="B5" s="10"/>
      <c r="C5" s="57">
        <f>'August Budget'!J56</f>
        <v>0</v>
      </c>
      <c r="D5" s="42">
        <f>'August Budget'!H56</f>
        <v>0</v>
      </c>
      <c r="E5" s="59"/>
      <c r="F5" s="3" t="s">
        <v>108</v>
      </c>
    </row>
    <row r="6" spans="2:20" ht="14.6" x14ac:dyDescent="0.4">
      <c r="B6" s="10"/>
      <c r="C6" s="57">
        <f>'August Budget'!J57</f>
        <v>0</v>
      </c>
      <c r="D6" s="42">
        <f>'August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'August Budget'!J54</f>
        <v>0</v>
      </c>
      <c r="E45" s="9">
        <v>0</v>
      </c>
      <c r="F45" s="10">
        <f>'August Budget'!H54</f>
        <v>0</v>
      </c>
      <c r="G45" s="3" t="s">
        <v>112</v>
      </c>
    </row>
    <row r="46" spans="2:7" ht="15" customHeight="1" x14ac:dyDescent="0.4">
      <c r="C46" t="s">
        <v>67</v>
      </c>
      <c r="D46" s="10">
        <f>'August Budget'!J53</f>
        <v>0</v>
      </c>
      <c r="F46" s="10">
        <f>'August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001848D8-F34D-4BE7-8B53-DDC162B4B5E4}"/>
    <hyperlink ref="F4" r:id="rId2" xr:uid="{444FC070-4435-4B52-BAC2-6809A6750035}"/>
    <hyperlink ref="F5" r:id="rId3" xr:uid="{1415B045-003B-43CA-8C4F-36293258167F}"/>
  </hyperlinks>
  <pageMargins left="0.7" right="0.7" top="0.75" bottom="0.75" header="0.3" footer="0.3"/>
  <drawing r:id="rId4"/>
  <tableParts count="4">
    <tablePart r:id="rId5"/>
    <tablePart r:id="rId6"/>
    <tablePart r:id="rId7"/>
    <tablePart r:id="rId8"/>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087620-B510-4162-BD49-DD6B9B6FCF33}">
  <sheetPr>
    <tabColor theme="9" tint="0.59999389629810485"/>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Entertainment180206219291317[[#This Row],[Projected 
cost]]-Entertainment180206219291317[[#This Row],[Actual 
cost]]</f>
        <v>0</v>
      </c>
    </row>
    <row r="40" spans="1:9" ht="15.9" x14ac:dyDescent="0.45">
      <c r="A40" s="31" t="s">
        <v>50</v>
      </c>
      <c r="B40" s="4">
        <v>0</v>
      </c>
      <c r="C40" s="4">
        <v>0</v>
      </c>
      <c r="D40" s="4"/>
      <c r="E40" s="28"/>
      <c r="F40" s="32" t="s">
        <v>51</v>
      </c>
      <c r="G40" s="33">
        <v>0</v>
      </c>
      <c r="H40" s="33">
        <v>0</v>
      </c>
      <c r="I40" s="33">
        <f>Entertainment180206219291317[[#This Row],[Projected 
cost]]-Entertainment180206219291317[[#This Row],[Actual 
cost]]</f>
        <v>0</v>
      </c>
    </row>
    <row r="41" spans="1:9" ht="15.9" x14ac:dyDescent="0.45">
      <c r="A41" s="31" t="s">
        <v>52</v>
      </c>
      <c r="B41" s="4">
        <v>0</v>
      </c>
      <c r="C41" s="4">
        <v>0</v>
      </c>
      <c r="D41" s="4"/>
      <c r="E41" s="28"/>
      <c r="F41" s="32" t="s">
        <v>53</v>
      </c>
      <c r="G41" s="33">
        <v>0</v>
      </c>
      <c r="H41" s="33">
        <v>0</v>
      </c>
      <c r="I41" s="33">
        <f>Entertainment180206219291317[[#This Row],[Projected 
cost]]-Entertainment180206219291317[[#This Row],[Actual 
cost]]</f>
        <v>0</v>
      </c>
    </row>
    <row r="42" spans="1:9" ht="15.9" x14ac:dyDescent="0.45">
      <c r="A42" s="31" t="s">
        <v>54</v>
      </c>
      <c r="B42" s="4">
        <v>0</v>
      </c>
      <c r="C42" s="4">
        <v>0</v>
      </c>
      <c r="D42" s="4"/>
      <c r="E42" s="28"/>
      <c r="F42" s="32" t="s">
        <v>55</v>
      </c>
      <c r="G42" s="33">
        <v>0</v>
      </c>
      <c r="H42" s="33">
        <v>0</v>
      </c>
      <c r="I42" s="33">
        <f>Entertainment180206219291317[[#This Row],[Projected 
cost]]-Entertainment180206219291317[[#This Row],[Actual 
cost]]</f>
        <v>0</v>
      </c>
    </row>
    <row r="43" spans="1:9" ht="15.9" x14ac:dyDescent="0.45">
      <c r="A43" s="31" t="s">
        <v>56</v>
      </c>
      <c r="B43" s="4">
        <v>0</v>
      </c>
      <c r="C43" s="4">
        <v>0</v>
      </c>
      <c r="D43" s="4"/>
      <c r="E43" s="28"/>
      <c r="F43" s="32" t="s">
        <v>57</v>
      </c>
      <c r="G43" s="33">
        <v>0</v>
      </c>
      <c r="H43" s="33">
        <v>0</v>
      </c>
      <c r="I43" s="33">
        <f>Entertainment180206219291317[[#This Row],[Projected 
cost]]-Entertainment180206219291317[[#This Row],[Actual 
cost]]</f>
        <v>0</v>
      </c>
    </row>
    <row r="44" spans="1:9" ht="15.9" x14ac:dyDescent="0.45">
      <c r="A44" s="31" t="s">
        <v>58</v>
      </c>
      <c r="B44" s="4">
        <v>0</v>
      </c>
      <c r="C44" s="4">
        <v>0</v>
      </c>
      <c r="D44" s="4"/>
      <c r="E44" s="28"/>
      <c r="F44" s="32" t="s">
        <v>59</v>
      </c>
      <c r="G44" s="33">
        <v>0</v>
      </c>
      <c r="H44" s="33">
        <v>0</v>
      </c>
      <c r="I44" s="33">
        <f>Entertainment180206219291317[[#This Row],[Projected 
cost]]-Entertainment180206219291317[[#This Row],[Actual 
cost]]</f>
        <v>0</v>
      </c>
    </row>
    <row r="45" spans="1:9" ht="15.9" x14ac:dyDescent="0.45">
      <c r="A45" s="31" t="s">
        <v>60</v>
      </c>
      <c r="B45" s="4">
        <v>0</v>
      </c>
      <c r="C45" s="4">
        <v>0</v>
      </c>
      <c r="D45" s="4"/>
      <c r="E45" s="28"/>
      <c r="F45" s="32" t="s">
        <v>61</v>
      </c>
      <c r="G45" s="33">
        <v>0</v>
      </c>
      <c r="H45" s="33">
        <v>0</v>
      </c>
      <c r="I45" s="33">
        <f>Entertainment180206219291317[[#This Row],[Projected 
cost]]-Entertainment180206219291317[[#This Row],[Actual 
cost]]</f>
        <v>0</v>
      </c>
    </row>
    <row r="46" spans="1:9" ht="15.9" x14ac:dyDescent="0.45">
      <c r="A46" s="31" t="s">
        <v>62</v>
      </c>
      <c r="B46" s="4">
        <v>0</v>
      </c>
      <c r="C46" s="4">
        <v>0</v>
      </c>
      <c r="D46" s="4"/>
      <c r="E46" s="28"/>
      <c r="F46" s="32" t="s">
        <v>61</v>
      </c>
      <c r="G46" s="33">
        <v>0</v>
      </c>
      <c r="H46" s="33">
        <v>0</v>
      </c>
      <c r="I46" s="33">
        <f>Entertainment180206219291317[[#This Row],[Projected 
cost]]-Entertainment180206219291317[[#This Row],[Actual 
cost]]</f>
        <v>0</v>
      </c>
    </row>
    <row r="47" spans="1:9" ht="15.9" x14ac:dyDescent="0.45">
      <c r="A47" s="31" t="s">
        <v>63</v>
      </c>
      <c r="B47" s="4">
        <v>0</v>
      </c>
      <c r="C47" s="4">
        <v>0</v>
      </c>
      <c r="D47" s="4"/>
      <c r="E47" s="28"/>
      <c r="F47" s="32" t="s">
        <v>61</v>
      </c>
      <c r="G47" s="33">
        <v>0</v>
      </c>
      <c r="H47" s="33">
        <v>0</v>
      </c>
      <c r="I47" s="33">
        <f>Entertainment180206219291317[[#This Row],[Projected 
cost]]-Entertainment180206219291317[[#This Row],[Actual 
cost]]</f>
        <v>0</v>
      </c>
    </row>
    <row r="48" spans="1:9" ht="18.45" x14ac:dyDescent="0.45">
      <c r="A48" s="31" t="s">
        <v>61</v>
      </c>
      <c r="B48" s="4">
        <v>0</v>
      </c>
      <c r="C48" s="4">
        <v>0</v>
      </c>
      <c r="D48" s="4"/>
      <c r="E48" s="28"/>
      <c r="F48" s="34" t="s">
        <v>64</v>
      </c>
      <c r="G48" s="35">
        <f>SUM(Entertainment180206219291317[Projected 
cost])</f>
        <v>0</v>
      </c>
      <c r="H48" s="35">
        <f>SUM(Entertainment180206219291317[Actual 
cost])</f>
        <v>0</v>
      </c>
      <c r="I48" s="36">
        <f>SUBTOTAL(109,Entertainment180206219291317[Difference])</f>
        <v>0</v>
      </c>
    </row>
    <row r="49" spans="1:10" ht="18.45" x14ac:dyDescent="0.45">
      <c r="A49" s="37" t="s">
        <v>64</v>
      </c>
      <c r="B49" s="4">
        <f>SUM(Housing179205218290316[Projected
cost])</f>
        <v>0</v>
      </c>
      <c r="C49" s="4">
        <f>SUM(Housing179205218290316[Actual 
cost])</f>
        <v>0</v>
      </c>
      <c r="D49" s="4">
        <f>SUBTOTAL(109,Housing179205218290316[Difference])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Transportation183208221293319[[#This Row],[Projected 
cost]]-Transportation183208221293319[[#This Row],[Actual 
cost]]</f>
        <v>0</v>
      </c>
      <c r="E53" s="28"/>
      <c r="F53" s="32" t="s">
        <v>67</v>
      </c>
      <c r="G53" s="33">
        <v>0</v>
      </c>
      <c r="H53" s="33">
        <v>0</v>
      </c>
      <c r="I53" s="33">
        <f>Loans182207220292318[[#This Row],[Projected 
cost]]-Loans182207220292318[[#This Row],[Actual 
cost]]</f>
        <v>0</v>
      </c>
      <c r="J53" s="42">
        <v>0</v>
      </c>
    </row>
    <row r="54" spans="1:10" ht="15.9" x14ac:dyDescent="0.45">
      <c r="A54" s="32" t="s">
        <v>68</v>
      </c>
      <c r="B54" s="33">
        <v>0</v>
      </c>
      <c r="C54" s="33">
        <v>0</v>
      </c>
      <c r="D54" s="33">
        <f>Transportation183208221293319[[#This Row],[Projected 
cost]]-Transportation183208221293319[[#This Row],[Actual 
cost]]</f>
        <v>0</v>
      </c>
      <c r="E54" s="28"/>
      <c r="F54" s="32" t="s">
        <v>69</v>
      </c>
      <c r="G54" s="33">
        <v>0</v>
      </c>
      <c r="H54" s="33">
        <v>0</v>
      </c>
      <c r="I54" s="33">
        <f>Loans182207220292318[[#This Row],[Projected 
cost]]-Loans182207220292318[[#This Row],[Actual 
cost]]</f>
        <v>0</v>
      </c>
      <c r="J54" s="42">
        <v>0</v>
      </c>
    </row>
    <row r="55" spans="1:10" ht="15.9" x14ac:dyDescent="0.45">
      <c r="A55" s="32" t="s">
        <v>70</v>
      </c>
      <c r="B55" s="33">
        <v>0</v>
      </c>
      <c r="C55" s="33">
        <v>0</v>
      </c>
      <c r="D55" s="33">
        <f>Transportation183208221293319[[#This Row],[Projected 
cost]]-Transportation183208221293319[[#This Row],[Actual 
cost]]</f>
        <v>0</v>
      </c>
      <c r="E55" s="28"/>
      <c r="F55" s="32" t="s">
        <v>71</v>
      </c>
      <c r="G55" s="33">
        <v>0</v>
      </c>
      <c r="H55" s="33">
        <v>0</v>
      </c>
      <c r="I55" s="33">
        <f>Loans182207220292318[[#This Row],[Projected 
cost]]-Loans182207220292318[[#This Row],[Actual 
cost]]</f>
        <v>0</v>
      </c>
      <c r="J55" s="42">
        <v>0</v>
      </c>
    </row>
    <row r="56" spans="1:10" ht="15.9" x14ac:dyDescent="0.45">
      <c r="A56" s="32" t="s">
        <v>72</v>
      </c>
      <c r="B56" s="33">
        <v>0</v>
      </c>
      <c r="C56" s="33">
        <v>0</v>
      </c>
      <c r="D56" s="33">
        <f>Transportation183208221293319[[#This Row],[Projected 
cost]]-Transportation183208221293319[[#This Row],[Actual 
cost]]</f>
        <v>0</v>
      </c>
      <c r="E56" s="28"/>
      <c r="F56" s="32" t="s">
        <v>71</v>
      </c>
      <c r="G56" s="33">
        <v>0</v>
      </c>
      <c r="H56" s="33">
        <v>0</v>
      </c>
      <c r="I56" s="33">
        <f>Loans182207220292318[[#This Row],[Projected 
cost]]-Loans182207220292318[[#This Row],[Actual 
cost]]</f>
        <v>0</v>
      </c>
      <c r="J56" s="42">
        <v>0</v>
      </c>
    </row>
    <row r="57" spans="1:10" ht="15.9" x14ac:dyDescent="0.45">
      <c r="A57" s="32" t="s">
        <v>73</v>
      </c>
      <c r="B57" s="33">
        <v>0</v>
      </c>
      <c r="C57" s="33">
        <v>0</v>
      </c>
      <c r="D57" s="33">
        <f>Transportation183208221293319[[#This Row],[Projected 
cost]]-Transportation183208221293319[[#This Row],[Actual 
cost]]</f>
        <v>0</v>
      </c>
      <c r="E57" s="28"/>
      <c r="F57" s="32" t="s">
        <v>71</v>
      </c>
      <c r="G57" s="33">
        <v>0</v>
      </c>
      <c r="H57" s="33">
        <v>0</v>
      </c>
      <c r="I57" s="33">
        <f>Loans182207220292318[[#This Row],[Projected 
cost]]-Loans182207220292318[[#This Row],[Actual 
cost]]</f>
        <v>0</v>
      </c>
      <c r="J57" s="42">
        <v>0</v>
      </c>
    </row>
    <row r="58" spans="1:10" ht="15.9" x14ac:dyDescent="0.45">
      <c r="A58" s="32" t="s">
        <v>74</v>
      </c>
      <c r="B58" s="33">
        <v>0</v>
      </c>
      <c r="C58" s="33">
        <v>0</v>
      </c>
      <c r="D58" s="33">
        <f>Transportation183208221293319[[#This Row],[Projected 
cost]]-Transportation183208221293319[[#This Row],[Actual 
cost]]</f>
        <v>0</v>
      </c>
      <c r="E58" s="28"/>
      <c r="F58" s="32" t="s">
        <v>61</v>
      </c>
      <c r="G58" s="33">
        <v>0</v>
      </c>
      <c r="H58" s="33">
        <v>0</v>
      </c>
      <c r="I58" s="33">
        <f>Loans182207220292318[[#This Row],[Projected 
cost]]-Loans182207220292318[[#This Row],[Actual 
cost]]</f>
        <v>0</v>
      </c>
      <c r="J58" s="42">
        <v>0</v>
      </c>
    </row>
    <row r="59" spans="1:10" ht="18.45" x14ac:dyDescent="0.45">
      <c r="A59" s="32" t="s">
        <v>61</v>
      </c>
      <c r="B59" s="33">
        <v>0</v>
      </c>
      <c r="C59" s="33">
        <v>0</v>
      </c>
      <c r="D59" s="33">
        <f>Transportation183208221293319[[#This Row],[Projected 
cost]]-Transportation183208221293319[[#This Row],[Actual 
cost]]</f>
        <v>0</v>
      </c>
      <c r="E59" s="28"/>
      <c r="F59" s="34" t="s">
        <v>64</v>
      </c>
      <c r="G59" s="35">
        <f>SUM(Loans182207220292318[Projected 
cost])</f>
        <v>0</v>
      </c>
      <c r="H59" s="35">
        <f>SUM(Loans182207220292318[Actual 
cost])</f>
        <v>0</v>
      </c>
      <c r="I59" s="36">
        <f>SUBTOTAL(109,Loans182207220292318[Difference])</f>
        <v>0</v>
      </c>
      <c r="J59" s="43">
        <f>SUM(J53:J58)</f>
        <v>0</v>
      </c>
    </row>
    <row r="60" spans="1:10" ht="18.45" x14ac:dyDescent="0.45">
      <c r="A60" s="34" t="s">
        <v>64</v>
      </c>
      <c r="B60" s="35">
        <f>SUM(Transportation183208221293319[Projected 
cost])</f>
        <v>0</v>
      </c>
      <c r="C60" s="35">
        <f>SUM(Transportation183208221293319[Actual 
cost])</f>
        <v>0</v>
      </c>
      <c r="D60" s="36">
        <f>SUBTOTAL(109,Transportation183208221293319[Difference])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Insurance185209222294320[[#This Row],[Projected
cost]]-Insurance185209222294320[[#This Row],[Actual 
cost]]</f>
        <v>0</v>
      </c>
      <c r="E64" s="28"/>
      <c r="F64" s="32" t="s">
        <v>76</v>
      </c>
      <c r="G64" s="33">
        <v>0</v>
      </c>
      <c r="H64" s="33">
        <v>0</v>
      </c>
      <c r="I64" s="33">
        <f>Taxes187210223295321[[#This Row],[Projected 
cost]]-Taxes187210223295321[[#This Row],[Actual 
cost]]</f>
        <v>0</v>
      </c>
    </row>
    <row r="65" spans="1:9" ht="15.9" x14ac:dyDescent="0.45">
      <c r="A65" s="32" t="s">
        <v>77</v>
      </c>
      <c r="B65" s="33">
        <v>0</v>
      </c>
      <c r="C65" s="33">
        <v>0</v>
      </c>
      <c r="D65" s="33">
        <f>Insurance185209222294320[[#This Row],[Projected
cost]]-Insurance185209222294320[[#This Row],[Actual 
cost]]</f>
        <v>0</v>
      </c>
      <c r="E65" s="28"/>
      <c r="F65" s="32" t="s">
        <v>78</v>
      </c>
      <c r="G65" s="33">
        <v>0</v>
      </c>
      <c r="H65" s="33">
        <v>0</v>
      </c>
      <c r="I65" s="33">
        <f>Taxes187210223295321[[#This Row],[Projected 
cost]]-Taxes187210223295321[[#This Row],[Actual 
cost]]</f>
        <v>0</v>
      </c>
    </row>
    <row r="66" spans="1:9" ht="15.9" x14ac:dyDescent="0.45">
      <c r="A66" s="32" t="s">
        <v>79</v>
      </c>
      <c r="B66" s="33">
        <v>0</v>
      </c>
      <c r="C66" s="33">
        <v>0</v>
      </c>
      <c r="D66" s="33">
        <f>Insurance185209222294320[[#This Row],[Projected
cost]]-Insurance185209222294320[[#This Row],[Actual 
cost]]</f>
        <v>0</v>
      </c>
      <c r="E66" s="28"/>
      <c r="F66" s="32" t="s">
        <v>80</v>
      </c>
      <c r="G66" s="33">
        <v>0</v>
      </c>
      <c r="H66" s="33">
        <v>0</v>
      </c>
      <c r="I66" s="33">
        <f>Taxes187210223295321[[#This Row],[Projected 
cost]]-Taxes187210223295321[[#This Row],[Actual 
cost]]</f>
        <v>0</v>
      </c>
    </row>
    <row r="67" spans="1:9" ht="15.9" x14ac:dyDescent="0.45">
      <c r="A67" s="32" t="s">
        <v>61</v>
      </c>
      <c r="B67" s="33">
        <v>0</v>
      </c>
      <c r="C67" s="33">
        <v>0</v>
      </c>
      <c r="D67" s="33">
        <f>Insurance185209222294320[[#This Row],[Projected
cost]]-Insurance185209222294320[[#This Row],[Actual 
cost]]</f>
        <v>0</v>
      </c>
      <c r="E67" s="28"/>
      <c r="F67" s="32" t="s">
        <v>61</v>
      </c>
      <c r="G67" s="33">
        <v>0</v>
      </c>
      <c r="H67" s="33">
        <v>0</v>
      </c>
      <c r="I67" s="33">
        <f>Taxes187210223295321[[#This Row],[Projected 
cost]]-Taxes187210223295321[[#This Row],[Actual 
cost]]</f>
        <v>0</v>
      </c>
    </row>
    <row r="68" spans="1:9" ht="18.45" x14ac:dyDescent="0.45">
      <c r="A68" s="34" t="s">
        <v>64</v>
      </c>
      <c r="B68" s="35" t="s">
        <v>122</v>
      </c>
      <c r="C68" s="35">
        <f>SUM(Insurance185209222294320[Actual 
cost])</f>
        <v>0</v>
      </c>
      <c r="D68" s="36">
        <f>SUBTOTAL(109,Insurance185209222294320[Difference])</f>
        <v>0</v>
      </c>
      <c r="E68" s="28"/>
      <c r="F68" s="34" t="s">
        <v>64</v>
      </c>
      <c r="G68" s="35">
        <f>SUM(Taxes187210223295321[Projected 
cost])</f>
        <v>0</v>
      </c>
      <c r="H68" s="35">
        <f>SUM(Taxes187210223295321[Actual 
cost])</f>
        <v>0</v>
      </c>
      <c r="I68" s="36">
        <f>SUBTOTAL(109,Taxes187210223295321[Difference])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Food191212225297323[[#This Row],[Projected 
cost]]-Food191212225297323[[#This Row],[Actual 
cost]]</f>
        <v>0</v>
      </c>
      <c r="E72" s="28"/>
      <c r="F72" s="32" t="s">
        <v>83</v>
      </c>
      <c r="G72" s="33">
        <v>0</v>
      </c>
      <c r="H72" s="33">
        <v>0</v>
      </c>
      <c r="I72" s="33">
        <f>Savings189211224296322[[#This Row],[Projected 
cost]]-Savings189211224296322[[#This Row],[Actual 
cost]]</f>
        <v>0</v>
      </c>
    </row>
    <row r="73" spans="1:9" ht="15.9" x14ac:dyDescent="0.45">
      <c r="A73" s="32" t="s">
        <v>84</v>
      </c>
      <c r="B73" s="33">
        <v>0</v>
      </c>
      <c r="C73" s="33">
        <v>0</v>
      </c>
      <c r="D73" s="33">
        <f>Food191212225297323[[#This Row],[Projected 
cost]]-Food191212225297323[[#This Row],[Actual 
cost]]</f>
        <v>0</v>
      </c>
      <c r="E73" s="28"/>
      <c r="F73" s="32" t="s">
        <v>85</v>
      </c>
      <c r="G73" s="33">
        <v>0</v>
      </c>
      <c r="H73" s="33">
        <v>0</v>
      </c>
      <c r="I73" s="33">
        <f>Savings189211224296322[[#This Row],[Projected 
cost]]-Savings189211224296322[[#This Row],[Actual 
cost]]</f>
        <v>0</v>
      </c>
    </row>
    <row r="74" spans="1:9" ht="15.9" x14ac:dyDescent="0.45">
      <c r="A74" s="32" t="s">
        <v>61</v>
      </c>
      <c r="B74" s="33">
        <v>0</v>
      </c>
      <c r="C74" s="33">
        <v>0</v>
      </c>
      <c r="D74" s="33">
        <f>Food191212225297323[[#This Row],[Projected 
cost]]-Food191212225297323[[#This Row],[Actual 
cost]]</f>
        <v>0</v>
      </c>
      <c r="E74" s="28"/>
      <c r="F74" s="32" t="s">
        <v>61</v>
      </c>
      <c r="G74" s="33">
        <v>0</v>
      </c>
      <c r="H74" s="33">
        <v>0</v>
      </c>
      <c r="I74" s="33">
        <f>Savings189211224296322[[#This Row],[Projected 
cost]]-Savings189211224296322[[#This Row],[Actual 
cost]]</f>
        <v>0</v>
      </c>
    </row>
    <row r="75" spans="1:9" ht="18.45" x14ac:dyDescent="0.45">
      <c r="A75" s="34" t="s">
        <v>64</v>
      </c>
      <c r="B75" s="35">
        <f>SUM(Food191212225297323[Projected 
cost])</f>
        <v>0</v>
      </c>
      <c r="C75" s="35">
        <f>SUM(Food191212225297323[Actual 
cost])</f>
        <v>0</v>
      </c>
      <c r="D75" s="36">
        <f>SUBTOTAL(109,Food191212225297323[Difference])</f>
        <v>0</v>
      </c>
      <c r="E75" s="28"/>
      <c r="F75" s="34" t="s">
        <v>64</v>
      </c>
      <c r="G75" s="35">
        <f>SUM(Savings189211224296322[Projected 
cost])</f>
        <v>0</v>
      </c>
      <c r="H75" s="35">
        <f>SUM(Savings189211224296322[Actual 
cost])</f>
        <v>0</v>
      </c>
      <c r="I75" s="36">
        <f>SUBTOTAL(109,Savings189211224296322[Difference])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Pets195214227299325[[#This Row],[Projected 
cost]]-Pets195214227299325[[#This Row],[Actual 
cost]]</f>
        <v>0</v>
      </c>
      <c r="E79" s="28"/>
      <c r="F79" s="32" t="s">
        <v>87</v>
      </c>
      <c r="G79" s="33">
        <v>0</v>
      </c>
      <c r="H79" s="33">
        <v>0</v>
      </c>
      <c r="I79" s="33">
        <f>Gifts193213226298324[[#This Row],[Projected 
cost]]-Gifts193213226298324[[#This Row],[Actual 
cost]]</f>
        <v>0</v>
      </c>
    </row>
    <row r="80" spans="1:9" ht="15.9" x14ac:dyDescent="0.45">
      <c r="A80" s="32" t="s">
        <v>88</v>
      </c>
      <c r="B80" s="33">
        <v>0</v>
      </c>
      <c r="C80" s="33">
        <v>0</v>
      </c>
      <c r="D80" s="33">
        <f>Pets195214227299325[[#This Row],[Projected 
cost]]-Pets195214227299325[[#This Row],[Actual 
cost]]</f>
        <v>0</v>
      </c>
      <c r="E80" s="28"/>
      <c r="F80" s="32" t="s">
        <v>89</v>
      </c>
      <c r="G80" s="33">
        <v>0</v>
      </c>
      <c r="H80" s="33">
        <v>0</v>
      </c>
      <c r="I80" s="33">
        <f>Gifts193213226298324[[#This Row],[Projected 
cost]]-Gifts193213226298324[[#This Row],[Actual 
cost]]</f>
        <v>0</v>
      </c>
    </row>
    <row r="81" spans="1:10" ht="15.9" x14ac:dyDescent="0.45">
      <c r="A81" s="32" t="s">
        <v>90</v>
      </c>
      <c r="B81" s="33">
        <v>0</v>
      </c>
      <c r="C81" s="33">
        <v>0</v>
      </c>
      <c r="D81" s="33">
        <f>Pets195214227299325[[#This Row],[Projected 
cost]]-Pets195214227299325[[#This Row],[Actual 
cost]]</f>
        <v>0</v>
      </c>
      <c r="E81" s="28"/>
      <c r="F81" s="32" t="s">
        <v>91</v>
      </c>
      <c r="G81" s="33">
        <v>0</v>
      </c>
      <c r="H81" s="33">
        <v>0</v>
      </c>
      <c r="I81" s="33">
        <f>Gifts193213226298324[[#This Row],[Projected 
cost]]-Gifts193213226298324[[#This Row],[Actual 
cost]]</f>
        <v>0</v>
      </c>
    </row>
    <row r="82" spans="1:10" ht="18.45" x14ac:dyDescent="0.45">
      <c r="A82" s="32" t="s">
        <v>92</v>
      </c>
      <c r="B82" s="33">
        <v>0</v>
      </c>
      <c r="C82" s="33">
        <v>0</v>
      </c>
      <c r="D82" s="33">
        <f>Pets195214227299325[[#This Row],[Projected 
cost]]-Pets195214227299325[[#This Row],[Actual 
cost]]</f>
        <v>0</v>
      </c>
      <c r="E82" s="28"/>
      <c r="F82" s="34" t="s">
        <v>64</v>
      </c>
      <c r="G82" s="35">
        <f>SUM(Gifts193213226298324[Projected 
cost])</f>
        <v>0</v>
      </c>
      <c r="H82" s="35">
        <f>SUM(Gifts193213226298324[Actual 
cost])</f>
        <v>0</v>
      </c>
      <c r="I82" s="36">
        <f>SUBTOTAL(109,Gifts193213226298324[Difference])</f>
        <v>0</v>
      </c>
    </row>
    <row r="83" spans="1:10" ht="18.45" x14ac:dyDescent="0.45">
      <c r="A83" s="32" t="s">
        <v>61</v>
      </c>
      <c r="B83" s="33">
        <v>0</v>
      </c>
      <c r="C83" s="33">
        <v>0</v>
      </c>
      <c r="D83" s="33">
        <f>Pets195214227299325[[#This Row],[Projected 
cost]]-Pets195214227299325[[#This Row],[Actual 
cost]]</f>
        <v>0</v>
      </c>
      <c r="E83" s="28"/>
      <c r="F83" s="39"/>
      <c r="G83" s="46"/>
      <c r="H83" s="46"/>
      <c r="I83" s="33"/>
    </row>
    <row r="84" spans="1:10" ht="18.45" x14ac:dyDescent="0.45">
      <c r="A84" s="34" t="s">
        <v>64</v>
      </c>
      <c r="B84" s="51">
        <f>SUM(Pets195214227299325[Projected 
cost])</f>
        <v>0</v>
      </c>
      <c r="C84" s="51">
        <f>SUM(Pets195214227299325[Actual 
cost])</f>
        <v>0</v>
      </c>
      <c r="D84" s="51">
        <f>SUBTOTAL(109,Pets195214227299325[Difference])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PersonalCare197215228300326[[#This Row],[Projected 
cost]]-PersonalCare197215228300326[[#This Row],[Actual 
cost]]</f>
        <v>0</v>
      </c>
      <c r="E88" s="28"/>
      <c r="F88" s="32" t="s">
        <v>87</v>
      </c>
      <c r="G88" s="33">
        <v>0</v>
      </c>
      <c r="H88" s="33">
        <v>0</v>
      </c>
      <c r="I88" s="33">
        <f>Legal198216229301327[[#This Row],[Projected 
cost]]-Legal198216229301327[[#This Row],[Actual 
cost]]</f>
        <v>0</v>
      </c>
    </row>
    <row r="89" spans="1:10" ht="15.9" x14ac:dyDescent="0.45">
      <c r="A89" s="32" t="s">
        <v>94</v>
      </c>
      <c r="B89" s="33">
        <v>0</v>
      </c>
      <c r="C89" s="33">
        <v>0</v>
      </c>
      <c r="D89" s="33">
        <f>PersonalCare197215228300326[[#This Row],[Projected 
cost]]-PersonalCare197215228300326[[#This Row],[Actual 
cost]]</f>
        <v>0</v>
      </c>
      <c r="E89" s="28"/>
      <c r="F89" s="32" t="s">
        <v>89</v>
      </c>
      <c r="G89" s="33">
        <v>0</v>
      </c>
      <c r="H89" s="33">
        <v>0</v>
      </c>
      <c r="I89" s="33">
        <f>Legal198216229301327[[#This Row],[Projected 
cost]]-Legal198216229301327[[#This Row],[Actual 
cost]]</f>
        <v>0</v>
      </c>
    </row>
    <row r="90" spans="1:10" ht="15.9" x14ac:dyDescent="0.45">
      <c r="A90" s="32" t="s">
        <v>95</v>
      </c>
      <c r="B90" s="33">
        <v>0</v>
      </c>
      <c r="C90" s="33">
        <v>0</v>
      </c>
      <c r="D90" s="33">
        <f>PersonalCare197215228300326[[#This Row],[Projected 
cost]]-PersonalCare197215228300326[[#This Row],[Actual 
cost]]</f>
        <v>0</v>
      </c>
      <c r="E90" s="28"/>
      <c r="F90" s="32" t="s">
        <v>91</v>
      </c>
      <c r="G90" s="33">
        <v>0</v>
      </c>
      <c r="H90" s="33">
        <v>0</v>
      </c>
      <c r="I90" s="33">
        <f>Legal198216229301327[[#This Row],[Projected 
cost]]-Legal198216229301327[[#This Row],[Actual 
cost]]</f>
        <v>0</v>
      </c>
    </row>
    <row r="91" spans="1:10" ht="15.9" x14ac:dyDescent="0.45">
      <c r="A91" s="32" t="s">
        <v>96</v>
      </c>
      <c r="B91" s="33">
        <v>0</v>
      </c>
      <c r="C91" s="33">
        <v>0</v>
      </c>
      <c r="D91" s="33">
        <f>PersonalCare197215228300326[[#This Row],[Projected 
cost]]-PersonalCare197215228300326[[#This Row],[Actual 
cost]]</f>
        <v>0</v>
      </c>
      <c r="E91" s="28"/>
      <c r="F91" s="32" t="s">
        <v>97</v>
      </c>
      <c r="G91" s="33">
        <v>0</v>
      </c>
      <c r="H91" s="33">
        <v>0</v>
      </c>
      <c r="I91" s="33">
        <f>Legal198216229301327[[#This Row],[Projected 
cost]]-Legal198216229301327[[#This Row],[Actual 
cost]]</f>
        <v>0</v>
      </c>
    </row>
    <row r="92" spans="1:10" ht="18.45" x14ac:dyDescent="0.45">
      <c r="A92" s="32" t="s">
        <v>98</v>
      </c>
      <c r="B92" s="33">
        <v>0</v>
      </c>
      <c r="C92" s="33">
        <v>0</v>
      </c>
      <c r="D92" s="33">
        <f>PersonalCare197215228300326[[#This Row],[Projected 
cost]]-PersonalCare197215228300326[[#This Row],[Actual 
cost]]</f>
        <v>0</v>
      </c>
      <c r="E92" s="28"/>
      <c r="F92" s="34" t="s">
        <v>64</v>
      </c>
      <c r="G92" s="35">
        <f>SUM(Legal198216229301327[Projected 
cost])</f>
        <v>0</v>
      </c>
      <c r="H92" s="35">
        <f>SUM(Legal198216229301327[Actual 
cost])</f>
        <v>0</v>
      </c>
      <c r="I92" s="36">
        <f>SUBTOTAL(109,Legal198216229301327[Difference])</f>
        <v>0</v>
      </c>
    </row>
    <row r="93" spans="1:10" ht="15.9" x14ac:dyDescent="0.45">
      <c r="A93" s="32" t="s">
        <v>99</v>
      </c>
      <c r="B93" s="33">
        <v>0</v>
      </c>
      <c r="C93" s="33">
        <v>0</v>
      </c>
      <c r="D93" s="33">
        <f>PersonalCare197215228300326[[#This Row],[Projected 
cost]]-PersonalCare197215228300326[[#This Row],[Actual 
cost]]</f>
        <v>0</v>
      </c>
      <c r="E93" s="28"/>
      <c r="F93" s="38"/>
      <c r="G93" s="38"/>
      <c r="H93" s="38"/>
      <c r="I93" s="38"/>
    </row>
    <row r="94" spans="1:10" ht="15.9" customHeight="1" x14ac:dyDescent="0.45">
      <c r="A94" s="32" t="s">
        <v>61</v>
      </c>
      <c r="B94" s="33">
        <v>0</v>
      </c>
      <c r="C94" s="33">
        <v>0</v>
      </c>
      <c r="D94" s="33">
        <f>PersonalCare197215228300326[[#This Row],[Projected 
cost]]-PersonalCare197215228300326[[#This Row],[Actual 
cost]]</f>
        <v>0</v>
      </c>
      <c r="E94" s="28"/>
      <c r="F94" s="67" t="s">
        <v>121</v>
      </c>
      <c r="G94" s="67"/>
      <c r="H94" s="67"/>
      <c r="I94" s="68">
        <f>J59</f>
        <v>0</v>
      </c>
      <c r="J94" s="69" t="s">
        <v>123</v>
      </c>
    </row>
    <row r="95" spans="1:10" ht="18.45" x14ac:dyDescent="0.45">
      <c r="A95" s="34" t="s">
        <v>64</v>
      </c>
      <c r="B95" s="35">
        <f>SUM(PersonalCare197215228300326[Projected 
cost])</f>
        <v>0</v>
      </c>
      <c r="C95" s="35">
        <f>SUM(PersonalCare197215228300326[Actual 
cost])</f>
        <v>0</v>
      </c>
      <c r="D95" s="36">
        <f>SUBTOTAL(109,PersonalCare197215228300326[Difference])</f>
        <v>0</v>
      </c>
      <c r="E95" s="28"/>
      <c r="F95" s="67"/>
      <c r="G95" s="67"/>
      <c r="H95" s="67"/>
      <c r="I95" s="68"/>
      <c r="J95" s="69"/>
    </row>
    <row r="96" spans="1:10" ht="15.9" x14ac:dyDescent="0.45">
      <c r="A96" s="54"/>
      <c r="B96" s="54"/>
      <c r="C96" s="54"/>
      <c r="D96" s="54"/>
      <c r="E96" s="28"/>
      <c r="F96" s="76" t="s">
        <v>100</v>
      </c>
      <c r="G96" s="76"/>
      <c r="H96" s="76"/>
      <c r="I96" s="78">
        <f>SUBTOTAL(109,Housing179205218290316[Projected
cost],Transportation183208221293319[Projected 
cost],Insurance185209222294320[Projected
cost],Food191212225297323[Projected 
cost],Pets195214227299325[Projected 
cost],PersonalCare197215228300326[Projected 
cost],Entertainment180206219291317[Projected 
cost],Loans182207220292318[Projected 
cost],Taxes187210223295321[Projected 
cost],Savings189211224296322[Projected 
cost],Gifts193213226298324[Projected 
cost],Legal198216229301327[Projected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SUBTOTAL(109,Housing179205218290316[Actual 
cost],Transportation183208221293319[Actual 
cost],Insurance185209222294320[Actual 
cost],Food191212225297323[Actual 
cost],Pets195214227299325[Actual 
cost],PersonalCare197215228300326[Actual 
cost],Entertainment180206219291317[Actual 
cost],Loans182207220292318[Actual 
cost],Taxes187210223295321[Actual 
cost],Savings189211224296322[Actual 
cost],Gifts193213226298324[Actual 
cost],Legal198216229301327[Actual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86A31A-FA3B-46D6-8D46-2030BBC2B96D}">
  <sheetPr>
    <tabColor theme="6"/>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Entertainment180206219291330[[#This Row],[Projected 
cost]]-Entertainment180206219291330[[#This Row],[Actual 
cost]]</f>
        <v>0</v>
      </c>
    </row>
    <row r="40" spans="1:9" ht="15.9" x14ac:dyDescent="0.45">
      <c r="A40" s="31" t="s">
        <v>50</v>
      </c>
      <c r="B40" s="4">
        <v>0</v>
      </c>
      <c r="C40" s="4">
        <v>0</v>
      </c>
      <c r="D40" s="4"/>
      <c r="E40" s="28"/>
      <c r="F40" s="32" t="s">
        <v>51</v>
      </c>
      <c r="G40" s="33">
        <v>0</v>
      </c>
      <c r="H40" s="33">
        <v>0</v>
      </c>
      <c r="I40" s="33">
        <f>Entertainment180206219291330[[#This Row],[Projected 
cost]]-Entertainment180206219291330[[#This Row],[Actual 
cost]]</f>
        <v>0</v>
      </c>
    </row>
    <row r="41" spans="1:9" ht="15.9" x14ac:dyDescent="0.45">
      <c r="A41" s="31" t="s">
        <v>52</v>
      </c>
      <c r="B41" s="4">
        <v>0</v>
      </c>
      <c r="C41" s="4">
        <v>0</v>
      </c>
      <c r="D41" s="4"/>
      <c r="E41" s="28"/>
      <c r="F41" s="32" t="s">
        <v>53</v>
      </c>
      <c r="G41" s="33">
        <v>0</v>
      </c>
      <c r="H41" s="33">
        <v>0</v>
      </c>
      <c r="I41" s="33">
        <f>Entertainment180206219291330[[#This Row],[Projected 
cost]]-Entertainment180206219291330[[#This Row],[Actual 
cost]]</f>
        <v>0</v>
      </c>
    </row>
    <row r="42" spans="1:9" ht="15.9" x14ac:dyDescent="0.45">
      <c r="A42" s="31" t="s">
        <v>54</v>
      </c>
      <c r="B42" s="4">
        <v>0</v>
      </c>
      <c r="C42" s="4">
        <v>0</v>
      </c>
      <c r="D42" s="4"/>
      <c r="E42" s="28"/>
      <c r="F42" s="32" t="s">
        <v>55</v>
      </c>
      <c r="G42" s="33">
        <v>0</v>
      </c>
      <c r="H42" s="33">
        <v>0</v>
      </c>
      <c r="I42" s="33">
        <f>Entertainment180206219291330[[#This Row],[Projected 
cost]]-Entertainment180206219291330[[#This Row],[Actual 
cost]]</f>
        <v>0</v>
      </c>
    </row>
    <row r="43" spans="1:9" ht="15.9" x14ac:dyDescent="0.45">
      <c r="A43" s="31" t="s">
        <v>56</v>
      </c>
      <c r="B43" s="4">
        <v>0</v>
      </c>
      <c r="C43" s="4">
        <v>0</v>
      </c>
      <c r="D43" s="4"/>
      <c r="E43" s="28"/>
      <c r="F43" s="32" t="s">
        <v>57</v>
      </c>
      <c r="G43" s="33">
        <v>0</v>
      </c>
      <c r="H43" s="33">
        <v>0</v>
      </c>
      <c r="I43" s="33">
        <f>Entertainment180206219291330[[#This Row],[Projected 
cost]]-Entertainment180206219291330[[#This Row],[Actual 
cost]]</f>
        <v>0</v>
      </c>
    </row>
    <row r="44" spans="1:9" ht="15.9" x14ac:dyDescent="0.45">
      <c r="A44" s="31" t="s">
        <v>58</v>
      </c>
      <c r="B44" s="4">
        <v>0</v>
      </c>
      <c r="C44" s="4">
        <v>0</v>
      </c>
      <c r="D44" s="4"/>
      <c r="E44" s="28"/>
      <c r="F44" s="32" t="s">
        <v>59</v>
      </c>
      <c r="G44" s="33">
        <v>0</v>
      </c>
      <c r="H44" s="33">
        <v>0</v>
      </c>
      <c r="I44" s="33">
        <f>Entertainment180206219291330[[#This Row],[Projected 
cost]]-Entertainment180206219291330[[#This Row],[Actual 
cost]]</f>
        <v>0</v>
      </c>
    </row>
    <row r="45" spans="1:9" ht="15.9" x14ac:dyDescent="0.45">
      <c r="A45" s="31" t="s">
        <v>60</v>
      </c>
      <c r="B45" s="4">
        <v>0</v>
      </c>
      <c r="C45" s="4">
        <v>0</v>
      </c>
      <c r="D45" s="4"/>
      <c r="E45" s="28"/>
      <c r="F45" s="32" t="s">
        <v>61</v>
      </c>
      <c r="G45" s="33">
        <v>0</v>
      </c>
      <c r="H45" s="33">
        <v>0</v>
      </c>
      <c r="I45" s="33">
        <f>Entertainment180206219291330[[#This Row],[Projected 
cost]]-Entertainment180206219291330[[#This Row],[Actual 
cost]]</f>
        <v>0</v>
      </c>
    </row>
    <row r="46" spans="1:9" ht="15.9" x14ac:dyDescent="0.45">
      <c r="A46" s="31" t="s">
        <v>62</v>
      </c>
      <c r="B46" s="4">
        <v>0</v>
      </c>
      <c r="C46" s="4">
        <v>0</v>
      </c>
      <c r="D46" s="4"/>
      <c r="E46" s="28"/>
      <c r="F46" s="32" t="s">
        <v>61</v>
      </c>
      <c r="G46" s="33">
        <v>0</v>
      </c>
      <c r="H46" s="33">
        <v>0</v>
      </c>
      <c r="I46" s="33">
        <f>Entertainment180206219291330[[#This Row],[Projected 
cost]]-Entertainment180206219291330[[#This Row],[Actual 
cost]]</f>
        <v>0</v>
      </c>
    </row>
    <row r="47" spans="1:9" ht="15.9" x14ac:dyDescent="0.45">
      <c r="A47" s="31" t="s">
        <v>63</v>
      </c>
      <c r="B47" s="4">
        <v>0</v>
      </c>
      <c r="C47" s="4">
        <v>0</v>
      </c>
      <c r="D47" s="4"/>
      <c r="E47" s="28"/>
      <c r="F47" s="32" t="s">
        <v>61</v>
      </c>
      <c r="G47" s="33">
        <v>0</v>
      </c>
      <c r="H47" s="33">
        <v>0</v>
      </c>
      <c r="I47" s="33">
        <f>Entertainment180206219291330[[#This Row],[Projected 
cost]]-Entertainment180206219291330[[#This Row],[Actual 
cost]]</f>
        <v>0</v>
      </c>
    </row>
    <row r="48" spans="1:9" ht="18.45" x14ac:dyDescent="0.45">
      <c r="A48" s="31" t="s">
        <v>61</v>
      </c>
      <c r="B48" s="4">
        <v>0</v>
      </c>
      <c r="C48" s="4">
        <v>0</v>
      </c>
      <c r="D48" s="4"/>
      <c r="E48" s="28"/>
      <c r="F48" s="34" t="s">
        <v>64</v>
      </c>
      <c r="G48" s="35">
        <f>SUM(Entertainment180206219291330[Projected 
cost])</f>
        <v>0</v>
      </c>
      <c r="H48" s="35">
        <f>SUM(Entertainment180206219291330[Actual 
cost])</f>
        <v>0</v>
      </c>
      <c r="I48" s="36">
        <f>SUBTOTAL(109,Entertainment180206219291330[Difference])</f>
        <v>0</v>
      </c>
    </row>
    <row r="49" spans="1:10" ht="18.45" x14ac:dyDescent="0.45">
      <c r="A49" s="37" t="s">
        <v>64</v>
      </c>
      <c r="B49" s="4">
        <f>SUM(Housing179205218290329[Projected
cost])</f>
        <v>0</v>
      </c>
      <c r="C49" s="4">
        <f>SUM(Housing179205218290329[Actual 
cost])</f>
        <v>0</v>
      </c>
      <c r="D49" s="4">
        <f>SUBTOTAL(109,Housing179205218290329[Difference])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Transportation183208221293332[[#This Row],[Projected 
cost]]-Transportation183208221293332[[#This Row],[Actual 
cost]]</f>
        <v>0</v>
      </c>
      <c r="E53" s="28"/>
      <c r="F53" s="32" t="s">
        <v>67</v>
      </c>
      <c r="G53" s="33">
        <v>0</v>
      </c>
      <c r="H53" s="33">
        <v>0</v>
      </c>
      <c r="I53" s="33">
        <f>Loans182207220292331[[#This Row],[Projected 
cost]]-Loans182207220292331[[#This Row],[Actual 
cost]]</f>
        <v>0</v>
      </c>
      <c r="J53" s="42">
        <v>0</v>
      </c>
    </row>
    <row r="54" spans="1:10" ht="15.9" x14ac:dyDescent="0.45">
      <c r="A54" s="32" t="s">
        <v>68</v>
      </c>
      <c r="B54" s="33">
        <v>0</v>
      </c>
      <c r="C54" s="33">
        <v>0</v>
      </c>
      <c r="D54" s="33">
        <f>Transportation183208221293332[[#This Row],[Projected 
cost]]-Transportation183208221293332[[#This Row],[Actual 
cost]]</f>
        <v>0</v>
      </c>
      <c r="E54" s="28"/>
      <c r="F54" s="32" t="s">
        <v>69</v>
      </c>
      <c r="G54" s="33">
        <v>0</v>
      </c>
      <c r="H54" s="33">
        <v>0</v>
      </c>
      <c r="I54" s="33">
        <f>Loans182207220292331[[#This Row],[Projected 
cost]]-Loans182207220292331[[#This Row],[Actual 
cost]]</f>
        <v>0</v>
      </c>
      <c r="J54" s="42">
        <v>0</v>
      </c>
    </row>
    <row r="55" spans="1:10" ht="15.9" x14ac:dyDescent="0.45">
      <c r="A55" s="32" t="s">
        <v>70</v>
      </c>
      <c r="B55" s="33">
        <v>0</v>
      </c>
      <c r="C55" s="33">
        <v>0</v>
      </c>
      <c r="D55" s="33">
        <f>Transportation183208221293332[[#This Row],[Projected 
cost]]-Transportation183208221293332[[#This Row],[Actual 
cost]]</f>
        <v>0</v>
      </c>
      <c r="E55" s="28"/>
      <c r="F55" s="32" t="s">
        <v>71</v>
      </c>
      <c r="G55" s="33">
        <v>0</v>
      </c>
      <c r="H55" s="33">
        <v>0</v>
      </c>
      <c r="I55" s="33">
        <f>Loans182207220292331[[#This Row],[Projected 
cost]]-Loans182207220292331[[#This Row],[Actual 
cost]]</f>
        <v>0</v>
      </c>
      <c r="J55" s="42">
        <v>0</v>
      </c>
    </row>
    <row r="56" spans="1:10" ht="15.9" x14ac:dyDescent="0.45">
      <c r="A56" s="32" t="s">
        <v>72</v>
      </c>
      <c r="B56" s="33">
        <v>0</v>
      </c>
      <c r="C56" s="33">
        <v>0</v>
      </c>
      <c r="D56" s="33">
        <f>Transportation183208221293332[[#This Row],[Projected 
cost]]-Transportation183208221293332[[#This Row],[Actual 
cost]]</f>
        <v>0</v>
      </c>
      <c r="E56" s="28"/>
      <c r="F56" s="32" t="s">
        <v>71</v>
      </c>
      <c r="G56" s="33">
        <v>0</v>
      </c>
      <c r="H56" s="33">
        <v>0</v>
      </c>
      <c r="I56" s="33">
        <f>Loans182207220292331[[#This Row],[Projected 
cost]]-Loans182207220292331[[#This Row],[Actual 
cost]]</f>
        <v>0</v>
      </c>
      <c r="J56" s="42">
        <v>0</v>
      </c>
    </row>
    <row r="57" spans="1:10" ht="15.9" x14ac:dyDescent="0.45">
      <c r="A57" s="32" t="s">
        <v>73</v>
      </c>
      <c r="B57" s="33">
        <v>0</v>
      </c>
      <c r="C57" s="33">
        <v>0</v>
      </c>
      <c r="D57" s="33">
        <f>Transportation183208221293332[[#This Row],[Projected 
cost]]-Transportation183208221293332[[#This Row],[Actual 
cost]]</f>
        <v>0</v>
      </c>
      <c r="E57" s="28"/>
      <c r="F57" s="32" t="s">
        <v>71</v>
      </c>
      <c r="G57" s="33">
        <v>0</v>
      </c>
      <c r="H57" s="33">
        <v>0</v>
      </c>
      <c r="I57" s="33">
        <f>Loans182207220292331[[#This Row],[Projected 
cost]]-Loans182207220292331[[#This Row],[Actual 
cost]]</f>
        <v>0</v>
      </c>
      <c r="J57" s="42">
        <v>0</v>
      </c>
    </row>
    <row r="58" spans="1:10" ht="15.9" x14ac:dyDescent="0.45">
      <c r="A58" s="32" t="s">
        <v>74</v>
      </c>
      <c r="B58" s="33">
        <v>0</v>
      </c>
      <c r="C58" s="33">
        <v>0</v>
      </c>
      <c r="D58" s="33">
        <f>Transportation183208221293332[[#This Row],[Projected 
cost]]-Transportation183208221293332[[#This Row],[Actual 
cost]]</f>
        <v>0</v>
      </c>
      <c r="E58" s="28"/>
      <c r="F58" s="32" t="s">
        <v>61</v>
      </c>
      <c r="G58" s="33">
        <v>0</v>
      </c>
      <c r="H58" s="33">
        <v>0</v>
      </c>
      <c r="I58" s="33">
        <f>Loans182207220292331[[#This Row],[Projected 
cost]]-Loans182207220292331[[#This Row],[Actual 
cost]]</f>
        <v>0</v>
      </c>
      <c r="J58" s="42">
        <v>0</v>
      </c>
    </row>
    <row r="59" spans="1:10" ht="18.45" x14ac:dyDescent="0.45">
      <c r="A59" s="32" t="s">
        <v>61</v>
      </c>
      <c r="B59" s="33">
        <v>0</v>
      </c>
      <c r="C59" s="33">
        <v>0</v>
      </c>
      <c r="D59" s="33">
        <f>Transportation183208221293332[[#This Row],[Projected 
cost]]-Transportation183208221293332[[#This Row],[Actual 
cost]]</f>
        <v>0</v>
      </c>
      <c r="E59" s="28"/>
      <c r="F59" s="34" t="s">
        <v>64</v>
      </c>
      <c r="G59" s="35">
        <f>SUM(Loans182207220292331[Projected 
cost])</f>
        <v>0</v>
      </c>
      <c r="H59" s="35">
        <f>SUM(Loans182207220292331[Actual 
cost])</f>
        <v>0</v>
      </c>
      <c r="I59" s="36">
        <f>SUBTOTAL(109,Loans182207220292331[Difference])</f>
        <v>0</v>
      </c>
      <c r="J59" s="43">
        <f>SUM(J53:J58)</f>
        <v>0</v>
      </c>
    </row>
    <row r="60" spans="1:10" ht="18.45" x14ac:dyDescent="0.45">
      <c r="A60" s="34" t="s">
        <v>64</v>
      </c>
      <c r="B60" s="35">
        <f>SUM(Transportation183208221293332[Projected 
cost])</f>
        <v>0</v>
      </c>
      <c r="C60" s="35">
        <f>SUM(Transportation183208221293332[Actual 
cost])</f>
        <v>0</v>
      </c>
      <c r="D60" s="36">
        <f>SUBTOTAL(109,Transportation183208221293332[Difference])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Insurance185209222294333[[#This Row],[Projected
cost]]-Insurance185209222294333[[#This Row],[Actual 
cost]]</f>
        <v>0</v>
      </c>
      <c r="E64" s="28"/>
      <c r="F64" s="32" t="s">
        <v>76</v>
      </c>
      <c r="G64" s="33">
        <v>0</v>
      </c>
      <c r="H64" s="33">
        <v>0</v>
      </c>
      <c r="I64" s="33">
        <f>Taxes187210223295334[[#This Row],[Projected 
cost]]-Taxes187210223295334[[#This Row],[Actual 
cost]]</f>
        <v>0</v>
      </c>
    </row>
    <row r="65" spans="1:9" ht="15.9" x14ac:dyDescent="0.45">
      <c r="A65" s="32" t="s">
        <v>77</v>
      </c>
      <c r="B65" s="33">
        <v>0</v>
      </c>
      <c r="C65" s="33">
        <v>0</v>
      </c>
      <c r="D65" s="33">
        <f>Insurance185209222294333[[#This Row],[Projected
cost]]-Insurance185209222294333[[#This Row],[Actual 
cost]]</f>
        <v>0</v>
      </c>
      <c r="E65" s="28"/>
      <c r="F65" s="32" t="s">
        <v>78</v>
      </c>
      <c r="G65" s="33">
        <v>0</v>
      </c>
      <c r="H65" s="33">
        <v>0</v>
      </c>
      <c r="I65" s="33">
        <f>Taxes187210223295334[[#This Row],[Projected 
cost]]-Taxes187210223295334[[#This Row],[Actual 
cost]]</f>
        <v>0</v>
      </c>
    </row>
    <row r="66" spans="1:9" ht="15.9" x14ac:dyDescent="0.45">
      <c r="A66" s="32" t="s">
        <v>79</v>
      </c>
      <c r="B66" s="33">
        <v>0</v>
      </c>
      <c r="C66" s="33">
        <v>0</v>
      </c>
      <c r="D66" s="33">
        <f>Insurance185209222294333[[#This Row],[Projected
cost]]-Insurance185209222294333[[#This Row],[Actual 
cost]]</f>
        <v>0</v>
      </c>
      <c r="E66" s="28"/>
      <c r="F66" s="32" t="s">
        <v>80</v>
      </c>
      <c r="G66" s="33">
        <v>0</v>
      </c>
      <c r="H66" s="33">
        <v>0</v>
      </c>
      <c r="I66" s="33">
        <f>Taxes187210223295334[[#This Row],[Projected 
cost]]-Taxes187210223295334[[#This Row],[Actual 
cost]]</f>
        <v>0</v>
      </c>
    </row>
    <row r="67" spans="1:9" ht="15.9" x14ac:dyDescent="0.45">
      <c r="A67" s="32" t="s">
        <v>61</v>
      </c>
      <c r="B67" s="33">
        <v>0</v>
      </c>
      <c r="C67" s="33">
        <v>0</v>
      </c>
      <c r="D67" s="33">
        <f>Insurance185209222294333[[#This Row],[Projected
cost]]-Insurance185209222294333[[#This Row],[Actual 
cost]]</f>
        <v>0</v>
      </c>
      <c r="E67" s="28"/>
      <c r="F67" s="32" t="s">
        <v>61</v>
      </c>
      <c r="G67" s="33">
        <v>0</v>
      </c>
      <c r="H67" s="33">
        <v>0</v>
      </c>
      <c r="I67" s="33">
        <f>Taxes187210223295334[[#This Row],[Projected 
cost]]-Taxes187210223295334[[#This Row],[Actual 
cost]]</f>
        <v>0</v>
      </c>
    </row>
    <row r="68" spans="1:9" ht="18.45" x14ac:dyDescent="0.45">
      <c r="A68" s="34" t="s">
        <v>64</v>
      </c>
      <c r="B68" s="35" t="s">
        <v>122</v>
      </c>
      <c r="C68" s="35">
        <f>SUM(Insurance185209222294333[Actual 
cost])</f>
        <v>0</v>
      </c>
      <c r="D68" s="36">
        <f>SUBTOTAL(109,Insurance185209222294333[Difference])</f>
        <v>0</v>
      </c>
      <c r="E68" s="28"/>
      <c r="F68" s="34" t="s">
        <v>64</v>
      </c>
      <c r="G68" s="35">
        <f>SUM(Taxes187210223295334[Projected 
cost])</f>
        <v>0</v>
      </c>
      <c r="H68" s="35">
        <f>SUM(Taxes187210223295334[Actual 
cost])</f>
        <v>0</v>
      </c>
      <c r="I68" s="36">
        <f>SUBTOTAL(109,Taxes187210223295334[Difference])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Food191212225297336[[#This Row],[Projected 
cost]]-Food191212225297336[[#This Row],[Actual 
cost]]</f>
        <v>0</v>
      </c>
      <c r="E72" s="28"/>
      <c r="F72" s="32" t="s">
        <v>83</v>
      </c>
      <c r="G72" s="33">
        <v>0</v>
      </c>
      <c r="H72" s="33">
        <v>0</v>
      </c>
      <c r="I72" s="33">
        <f>Savings189211224296335[[#This Row],[Projected 
cost]]-Savings189211224296335[[#This Row],[Actual 
cost]]</f>
        <v>0</v>
      </c>
    </row>
    <row r="73" spans="1:9" ht="15.9" x14ac:dyDescent="0.45">
      <c r="A73" s="32" t="s">
        <v>84</v>
      </c>
      <c r="B73" s="33">
        <v>0</v>
      </c>
      <c r="C73" s="33">
        <v>0</v>
      </c>
      <c r="D73" s="33">
        <f>Food191212225297336[[#This Row],[Projected 
cost]]-Food191212225297336[[#This Row],[Actual 
cost]]</f>
        <v>0</v>
      </c>
      <c r="E73" s="28"/>
      <c r="F73" s="32" t="s">
        <v>85</v>
      </c>
      <c r="G73" s="33">
        <v>0</v>
      </c>
      <c r="H73" s="33">
        <v>0</v>
      </c>
      <c r="I73" s="33">
        <f>Savings189211224296335[[#This Row],[Projected 
cost]]-Savings189211224296335[[#This Row],[Actual 
cost]]</f>
        <v>0</v>
      </c>
    </row>
    <row r="74" spans="1:9" ht="15.9" x14ac:dyDescent="0.45">
      <c r="A74" s="32" t="s">
        <v>61</v>
      </c>
      <c r="B74" s="33">
        <v>0</v>
      </c>
      <c r="C74" s="33">
        <v>0</v>
      </c>
      <c r="D74" s="33">
        <f>Food191212225297336[[#This Row],[Projected 
cost]]-Food191212225297336[[#This Row],[Actual 
cost]]</f>
        <v>0</v>
      </c>
      <c r="E74" s="28"/>
      <c r="F74" s="32" t="s">
        <v>61</v>
      </c>
      <c r="G74" s="33">
        <v>0</v>
      </c>
      <c r="H74" s="33">
        <v>0</v>
      </c>
      <c r="I74" s="33">
        <f>Savings189211224296335[[#This Row],[Projected 
cost]]-Savings189211224296335[[#This Row],[Actual 
cost]]</f>
        <v>0</v>
      </c>
    </row>
    <row r="75" spans="1:9" ht="18.45" x14ac:dyDescent="0.45">
      <c r="A75" s="34" t="s">
        <v>64</v>
      </c>
      <c r="B75" s="35">
        <f>SUM(Food191212225297336[Projected 
cost])</f>
        <v>0</v>
      </c>
      <c r="C75" s="35">
        <f>SUM(Food191212225297336[Actual 
cost])</f>
        <v>0</v>
      </c>
      <c r="D75" s="36">
        <f>SUBTOTAL(109,Food191212225297336[Difference])</f>
        <v>0</v>
      </c>
      <c r="E75" s="28"/>
      <c r="F75" s="34" t="s">
        <v>64</v>
      </c>
      <c r="G75" s="35">
        <f>SUM(Savings189211224296335[Projected 
cost])</f>
        <v>0</v>
      </c>
      <c r="H75" s="35">
        <f>SUM(Savings189211224296335[Actual 
cost])</f>
        <v>0</v>
      </c>
      <c r="I75" s="36">
        <f>SUBTOTAL(109,Savings189211224296335[Difference])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Pets195214227299338[[#This Row],[Projected 
cost]]-Pets195214227299338[[#This Row],[Actual 
cost]]</f>
        <v>0</v>
      </c>
      <c r="E79" s="28"/>
      <c r="F79" s="32" t="s">
        <v>87</v>
      </c>
      <c r="G79" s="33">
        <v>0</v>
      </c>
      <c r="H79" s="33">
        <v>0</v>
      </c>
      <c r="I79" s="33">
        <f>Gifts193213226298337[[#This Row],[Projected 
cost]]-Gifts193213226298337[[#This Row],[Actual 
cost]]</f>
        <v>0</v>
      </c>
    </row>
    <row r="80" spans="1:9" ht="15.9" x14ac:dyDescent="0.45">
      <c r="A80" s="32" t="s">
        <v>88</v>
      </c>
      <c r="B80" s="33">
        <v>0</v>
      </c>
      <c r="C80" s="33">
        <v>0</v>
      </c>
      <c r="D80" s="33">
        <f>Pets195214227299338[[#This Row],[Projected 
cost]]-Pets195214227299338[[#This Row],[Actual 
cost]]</f>
        <v>0</v>
      </c>
      <c r="E80" s="28"/>
      <c r="F80" s="32" t="s">
        <v>89</v>
      </c>
      <c r="G80" s="33">
        <v>0</v>
      </c>
      <c r="H80" s="33">
        <v>0</v>
      </c>
      <c r="I80" s="33">
        <f>Gifts193213226298337[[#This Row],[Projected 
cost]]-Gifts193213226298337[[#This Row],[Actual 
cost]]</f>
        <v>0</v>
      </c>
    </row>
    <row r="81" spans="1:10" ht="15.9" x14ac:dyDescent="0.45">
      <c r="A81" s="32" t="s">
        <v>90</v>
      </c>
      <c r="B81" s="33">
        <v>0</v>
      </c>
      <c r="C81" s="33">
        <v>0</v>
      </c>
      <c r="D81" s="33">
        <f>Pets195214227299338[[#This Row],[Projected 
cost]]-Pets195214227299338[[#This Row],[Actual 
cost]]</f>
        <v>0</v>
      </c>
      <c r="E81" s="28"/>
      <c r="F81" s="32" t="s">
        <v>91</v>
      </c>
      <c r="G81" s="33">
        <v>0</v>
      </c>
      <c r="H81" s="33">
        <v>0</v>
      </c>
      <c r="I81" s="33">
        <f>Gifts193213226298337[[#This Row],[Projected 
cost]]-Gifts193213226298337[[#This Row],[Actual 
cost]]</f>
        <v>0</v>
      </c>
    </row>
    <row r="82" spans="1:10" ht="18.45" x14ac:dyDescent="0.45">
      <c r="A82" s="32" t="s">
        <v>92</v>
      </c>
      <c r="B82" s="33">
        <v>0</v>
      </c>
      <c r="C82" s="33">
        <v>0</v>
      </c>
      <c r="D82" s="33">
        <f>Pets195214227299338[[#This Row],[Projected 
cost]]-Pets195214227299338[[#This Row],[Actual 
cost]]</f>
        <v>0</v>
      </c>
      <c r="E82" s="28"/>
      <c r="F82" s="34" t="s">
        <v>64</v>
      </c>
      <c r="G82" s="35">
        <f>SUM(Gifts193213226298337[Projected 
cost])</f>
        <v>0</v>
      </c>
      <c r="H82" s="35">
        <f>SUM(Gifts193213226298337[Actual 
cost])</f>
        <v>0</v>
      </c>
      <c r="I82" s="36">
        <f>SUBTOTAL(109,Gifts193213226298337[Difference])</f>
        <v>0</v>
      </c>
    </row>
    <row r="83" spans="1:10" ht="18.45" x14ac:dyDescent="0.45">
      <c r="A83" s="32" t="s">
        <v>61</v>
      </c>
      <c r="B83" s="33">
        <v>0</v>
      </c>
      <c r="C83" s="33">
        <v>0</v>
      </c>
      <c r="D83" s="33">
        <f>Pets195214227299338[[#This Row],[Projected 
cost]]-Pets195214227299338[[#This Row],[Actual 
cost]]</f>
        <v>0</v>
      </c>
      <c r="E83" s="28"/>
      <c r="F83" s="39"/>
      <c r="G83" s="46"/>
      <c r="H83" s="46"/>
      <c r="I83" s="33"/>
    </row>
    <row r="84" spans="1:10" ht="18.45" x14ac:dyDescent="0.45">
      <c r="A84" s="34" t="s">
        <v>64</v>
      </c>
      <c r="B84" s="51">
        <f>SUM(Pets195214227299338[Projected 
cost])</f>
        <v>0</v>
      </c>
      <c r="C84" s="51">
        <f>SUM(Pets195214227299338[Actual 
cost])</f>
        <v>0</v>
      </c>
      <c r="D84" s="51">
        <f>SUBTOTAL(109,Pets195214227299338[Difference])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PersonalCare197215228300339[[#This Row],[Projected 
cost]]-PersonalCare197215228300339[[#This Row],[Actual 
cost]]</f>
        <v>0</v>
      </c>
      <c r="E88" s="28"/>
      <c r="F88" s="32" t="s">
        <v>87</v>
      </c>
      <c r="G88" s="33">
        <v>0</v>
      </c>
      <c r="H88" s="33">
        <v>0</v>
      </c>
      <c r="I88" s="33">
        <f>Legal198216229301340[[#This Row],[Projected 
cost]]-Legal198216229301340[[#This Row],[Actual 
cost]]</f>
        <v>0</v>
      </c>
    </row>
    <row r="89" spans="1:10" ht="15.9" x14ac:dyDescent="0.45">
      <c r="A89" s="32" t="s">
        <v>94</v>
      </c>
      <c r="B89" s="33">
        <v>0</v>
      </c>
      <c r="C89" s="33">
        <v>0</v>
      </c>
      <c r="D89" s="33">
        <f>PersonalCare197215228300339[[#This Row],[Projected 
cost]]-PersonalCare197215228300339[[#This Row],[Actual 
cost]]</f>
        <v>0</v>
      </c>
      <c r="E89" s="28"/>
      <c r="F89" s="32" t="s">
        <v>89</v>
      </c>
      <c r="G89" s="33">
        <v>0</v>
      </c>
      <c r="H89" s="33">
        <v>0</v>
      </c>
      <c r="I89" s="33">
        <f>Legal198216229301340[[#This Row],[Projected 
cost]]-Legal198216229301340[[#This Row],[Actual 
cost]]</f>
        <v>0</v>
      </c>
    </row>
    <row r="90" spans="1:10" ht="15.9" x14ac:dyDescent="0.45">
      <c r="A90" s="32" t="s">
        <v>95</v>
      </c>
      <c r="B90" s="33">
        <v>0</v>
      </c>
      <c r="C90" s="33">
        <v>0</v>
      </c>
      <c r="D90" s="33">
        <f>PersonalCare197215228300339[[#This Row],[Projected 
cost]]-PersonalCare197215228300339[[#This Row],[Actual 
cost]]</f>
        <v>0</v>
      </c>
      <c r="E90" s="28"/>
      <c r="F90" s="32" t="s">
        <v>91</v>
      </c>
      <c r="G90" s="33">
        <v>0</v>
      </c>
      <c r="H90" s="33">
        <v>0</v>
      </c>
      <c r="I90" s="33">
        <f>Legal198216229301340[[#This Row],[Projected 
cost]]-Legal198216229301340[[#This Row],[Actual 
cost]]</f>
        <v>0</v>
      </c>
    </row>
    <row r="91" spans="1:10" ht="15.9" x14ac:dyDescent="0.45">
      <c r="A91" s="32" t="s">
        <v>96</v>
      </c>
      <c r="B91" s="33">
        <v>0</v>
      </c>
      <c r="C91" s="33">
        <v>0</v>
      </c>
      <c r="D91" s="33">
        <f>PersonalCare197215228300339[[#This Row],[Projected 
cost]]-PersonalCare197215228300339[[#This Row],[Actual 
cost]]</f>
        <v>0</v>
      </c>
      <c r="E91" s="28"/>
      <c r="F91" s="32" t="s">
        <v>97</v>
      </c>
      <c r="G91" s="33">
        <v>0</v>
      </c>
      <c r="H91" s="33">
        <v>0</v>
      </c>
      <c r="I91" s="33">
        <f>Legal198216229301340[[#This Row],[Projected 
cost]]-Legal198216229301340[[#This Row],[Actual 
cost]]</f>
        <v>0</v>
      </c>
    </row>
    <row r="92" spans="1:10" ht="18.45" x14ac:dyDescent="0.45">
      <c r="A92" s="32" t="s">
        <v>98</v>
      </c>
      <c r="B92" s="33">
        <v>0</v>
      </c>
      <c r="C92" s="33">
        <v>0</v>
      </c>
      <c r="D92" s="33">
        <f>PersonalCare197215228300339[[#This Row],[Projected 
cost]]-PersonalCare197215228300339[[#This Row],[Actual 
cost]]</f>
        <v>0</v>
      </c>
      <c r="E92" s="28"/>
      <c r="F92" s="34" t="s">
        <v>64</v>
      </c>
      <c r="G92" s="35">
        <f>SUM(Legal198216229301340[Projected 
cost])</f>
        <v>0</v>
      </c>
      <c r="H92" s="35">
        <f>SUM(Legal198216229301340[Actual 
cost])</f>
        <v>0</v>
      </c>
      <c r="I92" s="36">
        <f>SUBTOTAL(109,Legal198216229301340[Difference])</f>
        <v>0</v>
      </c>
    </row>
    <row r="93" spans="1:10" ht="15.9" x14ac:dyDescent="0.45">
      <c r="A93" s="32" t="s">
        <v>99</v>
      </c>
      <c r="B93" s="33">
        <v>0</v>
      </c>
      <c r="C93" s="33">
        <v>0</v>
      </c>
      <c r="D93" s="33">
        <f>PersonalCare197215228300339[[#This Row],[Projected 
cost]]-PersonalCare197215228300339[[#This Row],[Actual 
cost]]</f>
        <v>0</v>
      </c>
      <c r="E93" s="28"/>
      <c r="F93" s="38"/>
      <c r="G93" s="38"/>
      <c r="H93" s="38"/>
      <c r="I93" s="38"/>
    </row>
    <row r="94" spans="1:10" ht="15.9" customHeight="1" x14ac:dyDescent="0.45">
      <c r="A94" s="32" t="s">
        <v>61</v>
      </c>
      <c r="B94" s="33">
        <v>0</v>
      </c>
      <c r="C94" s="33">
        <v>0</v>
      </c>
      <c r="D94" s="33">
        <f>PersonalCare197215228300339[[#This Row],[Projected 
cost]]-PersonalCare197215228300339[[#This Row],[Actual 
cost]]</f>
        <v>0</v>
      </c>
      <c r="E94" s="28"/>
      <c r="F94" s="67" t="s">
        <v>121</v>
      </c>
      <c r="G94" s="67"/>
      <c r="H94" s="67"/>
      <c r="I94" s="68">
        <f>J59</f>
        <v>0</v>
      </c>
      <c r="J94" s="69" t="s">
        <v>123</v>
      </c>
    </row>
    <row r="95" spans="1:10" ht="18.45" x14ac:dyDescent="0.45">
      <c r="A95" s="34" t="s">
        <v>64</v>
      </c>
      <c r="B95" s="35">
        <f>SUM(PersonalCare197215228300339[Projected 
cost])</f>
        <v>0</v>
      </c>
      <c r="C95" s="35">
        <f>SUM(PersonalCare197215228300339[Actual 
cost])</f>
        <v>0</v>
      </c>
      <c r="D95" s="36">
        <f>SUBTOTAL(109,PersonalCare197215228300339[Difference])</f>
        <v>0</v>
      </c>
      <c r="E95" s="28"/>
      <c r="F95" s="67"/>
      <c r="G95" s="67"/>
      <c r="H95" s="67"/>
      <c r="I95" s="68"/>
      <c r="J95" s="69"/>
    </row>
    <row r="96" spans="1:10" ht="15.9" x14ac:dyDescent="0.45">
      <c r="A96" s="54"/>
      <c r="B96" s="54"/>
      <c r="C96" s="54"/>
      <c r="D96" s="54"/>
      <c r="E96" s="28"/>
      <c r="F96" s="76" t="s">
        <v>100</v>
      </c>
      <c r="G96" s="76"/>
      <c r="H96" s="76"/>
      <c r="I96" s="78">
        <f>SUBTOTAL(109,Housing179205218290329[Projected
cost],Transportation183208221293332[Projected 
cost],Insurance185209222294333[Projected
cost],Food191212225297336[Projected 
cost],Pets195214227299338[Projected 
cost],PersonalCare197215228300339[Projected 
cost],Entertainment180206219291330[Projected 
cost],Loans182207220292331[Projected 
cost],Taxes187210223295334[Projected 
cost],Savings189211224296335[Projected 
cost],Gifts193213226298337[Projected 
cost],Legal198216229301340[Projected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SUBTOTAL(109,Housing179205218290329[Actual 
cost],Transportation183208221293332[Actual 
cost],Insurance185209222294333[Actual 
cost],Food191212225297336[Actual 
cost],Pets195214227299338[Actual 
cost],PersonalCare197215228300339[Actual 
cost],Entertainment180206219291330[Actual 
cost],Loans182207220292331[Actual 
cost],Taxes187210223295334[Actual 
cost],Savings189211224296335[Actual 
cost],Gifts193213226298337[Actual 
cost],Legal198216229301340[Actual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6A4E1F-5F31-4759-B9FD-589D6DC0AF66}">
  <sheetPr>
    <tabColor theme="6"/>
  </sheetPr>
  <dimension ref="B1:T65"/>
  <sheetViews>
    <sheetView topLeftCell="B6" zoomScale="62" workbookViewId="0">
      <selection activeCell="F46" sqref="F46"/>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'October Budget'!J55</f>
        <v>0</v>
      </c>
      <c r="D4" s="42">
        <f>'October Budget'!H55</f>
        <v>0</v>
      </c>
      <c r="E4" s="59">
        <v>0</v>
      </c>
      <c r="F4" s="3" t="s">
        <v>107</v>
      </c>
      <c r="G4" s="60" t="s">
        <v>109</v>
      </c>
      <c r="H4" s="7"/>
      <c r="I4" s="7"/>
      <c r="J4" s="7"/>
      <c r="K4" s="7"/>
      <c r="L4" s="7"/>
      <c r="M4" s="7"/>
      <c r="N4" s="7"/>
      <c r="O4" s="7"/>
      <c r="P4" s="2"/>
      <c r="Q4" s="2"/>
      <c r="R4" s="2"/>
      <c r="S4" s="2"/>
      <c r="T4" s="2"/>
    </row>
    <row r="5" spans="2:20" ht="14.6" x14ac:dyDescent="0.4">
      <c r="B5" s="10"/>
      <c r="C5" s="57">
        <f>'October Budget'!J56</f>
        <v>0</v>
      </c>
      <c r="D5" s="42">
        <f>'October Budget'!H56</f>
        <v>0</v>
      </c>
      <c r="E5" s="59"/>
      <c r="F5" s="3" t="s">
        <v>108</v>
      </c>
    </row>
    <row r="6" spans="2:20" ht="14.6" x14ac:dyDescent="0.4">
      <c r="B6" s="10"/>
      <c r="C6" s="57">
        <f>'October Budget'!J57</f>
        <v>0</v>
      </c>
      <c r="D6" s="42">
        <f>'October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'October Budget'!J54</f>
        <v>0</v>
      </c>
      <c r="E45" s="9">
        <v>0</v>
      </c>
      <c r="F45" s="10">
        <f>'October Budget'!H54</f>
        <v>0</v>
      </c>
      <c r="G45" s="3" t="s">
        <v>112</v>
      </c>
    </row>
    <row r="46" spans="2:7" ht="15" customHeight="1" x14ac:dyDescent="0.4">
      <c r="C46" t="s">
        <v>67</v>
      </c>
      <c r="D46" s="10">
        <f>'October Budget'!J53</f>
        <v>0</v>
      </c>
      <c r="F46" s="10">
        <f>'October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A06F4B39-EB6E-42CC-9875-D6155A1FA3C8}"/>
    <hyperlink ref="F4" r:id="rId2" xr:uid="{B6A60108-7900-4E3E-9266-2D894205B83F}"/>
    <hyperlink ref="F5" r:id="rId3" xr:uid="{BFCF69DA-4ACC-4E09-B1A0-EFBFEA33644F}"/>
  </hyperlinks>
  <pageMargins left="0.7" right="0.7" top="0.75" bottom="0.75" header="0.3" footer="0.3"/>
  <drawing r:id="rId4"/>
  <tableParts count="4">
    <tablePart r:id="rId5"/>
    <tablePart r:id="rId6"/>
    <tablePart r:id="rId7"/>
    <tablePart r:id="rId8"/>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897DC2-99A5-4764-8AB5-5951A4C3EDDF}">
  <sheetPr>
    <tabColor theme="4" tint="0.59999389629810485"/>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Entertainment180206219291343[[#This Row],[Projected 
cost]]-Entertainment180206219291343[[#This Row],[Actual 
cost]]</f>
        <v>0</v>
      </c>
    </row>
    <row r="40" spans="1:9" ht="15.9" x14ac:dyDescent="0.45">
      <c r="A40" s="31" t="s">
        <v>50</v>
      </c>
      <c r="B40" s="4">
        <v>0</v>
      </c>
      <c r="C40" s="4">
        <v>0</v>
      </c>
      <c r="D40" s="4"/>
      <c r="E40" s="28"/>
      <c r="F40" s="32" t="s">
        <v>51</v>
      </c>
      <c r="G40" s="33">
        <v>0</v>
      </c>
      <c r="H40" s="33">
        <v>0</v>
      </c>
      <c r="I40" s="33">
        <f>Entertainment180206219291343[[#This Row],[Projected 
cost]]-Entertainment180206219291343[[#This Row],[Actual 
cost]]</f>
        <v>0</v>
      </c>
    </row>
    <row r="41" spans="1:9" ht="15.9" x14ac:dyDescent="0.45">
      <c r="A41" s="31" t="s">
        <v>52</v>
      </c>
      <c r="B41" s="4">
        <v>0</v>
      </c>
      <c r="C41" s="4">
        <v>0</v>
      </c>
      <c r="D41" s="4"/>
      <c r="E41" s="28"/>
      <c r="F41" s="32" t="s">
        <v>53</v>
      </c>
      <c r="G41" s="33">
        <v>0</v>
      </c>
      <c r="H41" s="33">
        <v>0</v>
      </c>
      <c r="I41" s="33">
        <f>Entertainment180206219291343[[#This Row],[Projected 
cost]]-Entertainment180206219291343[[#This Row],[Actual 
cost]]</f>
        <v>0</v>
      </c>
    </row>
    <row r="42" spans="1:9" ht="15.9" x14ac:dyDescent="0.45">
      <c r="A42" s="31" t="s">
        <v>54</v>
      </c>
      <c r="B42" s="4">
        <v>0</v>
      </c>
      <c r="C42" s="4">
        <v>0</v>
      </c>
      <c r="D42" s="4"/>
      <c r="E42" s="28"/>
      <c r="F42" s="32" t="s">
        <v>55</v>
      </c>
      <c r="G42" s="33">
        <v>0</v>
      </c>
      <c r="H42" s="33">
        <v>0</v>
      </c>
      <c r="I42" s="33">
        <f>Entertainment180206219291343[[#This Row],[Projected 
cost]]-Entertainment180206219291343[[#This Row],[Actual 
cost]]</f>
        <v>0</v>
      </c>
    </row>
    <row r="43" spans="1:9" ht="15.9" x14ac:dyDescent="0.45">
      <c r="A43" s="31" t="s">
        <v>56</v>
      </c>
      <c r="B43" s="4">
        <v>0</v>
      </c>
      <c r="C43" s="4">
        <v>0</v>
      </c>
      <c r="D43" s="4"/>
      <c r="E43" s="28"/>
      <c r="F43" s="32" t="s">
        <v>57</v>
      </c>
      <c r="G43" s="33">
        <v>0</v>
      </c>
      <c r="H43" s="33">
        <v>0</v>
      </c>
      <c r="I43" s="33">
        <f>Entertainment180206219291343[[#This Row],[Projected 
cost]]-Entertainment180206219291343[[#This Row],[Actual 
cost]]</f>
        <v>0</v>
      </c>
    </row>
    <row r="44" spans="1:9" ht="15.9" x14ac:dyDescent="0.45">
      <c r="A44" s="31" t="s">
        <v>58</v>
      </c>
      <c r="B44" s="4">
        <v>0</v>
      </c>
      <c r="C44" s="4">
        <v>0</v>
      </c>
      <c r="D44" s="4"/>
      <c r="E44" s="28"/>
      <c r="F44" s="32" t="s">
        <v>59</v>
      </c>
      <c r="G44" s="33">
        <v>0</v>
      </c>
      <c r="H44" s="33">
        <v>0</v>
      </c>
      <c r="I44" s="33">
        <f>Entertainment180206219291343[[#This Row],[Projected 
cost]]-Entertainment180206219291343[[#This Row],[Actual 
cost]]</f>
        <v>0</v>
      </c>
    </row>
    <row r="45" spans="1:9" ht="15.9" x14ac:dyDescent="0.45">
      <c r="A45" s="31" t="s">
        <v>60</v>
      </c>
      <c r="B45" s="4">
        <v>0</v>
      </c>
      <c r="C45" s="4">
        <v>0</v>
      </c>
      <c r="D45" s="4"/>
      <c r="E45" s="28"/>
      <c r="F45" s="32" t="s">
        <v>61</v>
      </c>
      <c r="G45" s="33">
        <v>0</v>
      </c>
      <c r="H45" s="33">
        <v>0</v>
      </c>
      <c r="I45" s="33">
        <f>Entertainment180206219291343[[#This Row],[Projected 
cost]]-Entertainment180206219291343[[#This Row],[Actual 
cost]]</f>
        <v>0</v>
      </c>
    </row>
    <row r="46" spans="1:9" ht="15.9" x14ac:dyDescent="0.45">
      <c r="A46" s="31" t="s">
        <v>62</v>
      </c>
      <c r="B46" s="4">
        <v>0</v>
      </c>
      <c r="C46" s="4">
        <v>0</v>
      </c>
      <c r="D46" s="4"/>
      <c r="E46" s="28"/>
      <c r="F46" s="32" t="s">
        <v>61</v>
      </c>
      <c r="G46" s="33">
        <v>0</v>
      </c>
      <c r="H46" s="33">
        <v>0</v>
      </c>
      <c r="I46" s="33">
        <f>Entertainment180206219291343[[#This Row],[Projected 
cost]]-Entertainment180206219291343[[#This Row],[Actual 
cost]]</f>
        <v>0</v>
      </c>
    </row>
    <row r="47" spans="1:9" ht="15.9" x14ac:dyDescent="0.45">
      <c r="A47" s="31" t="s">
        <v>63</v>
      </c>
      <c r="B47" s="4">
        <v>0</v>
      </c>
      <c r="C47" s="4">
        <v>0</v>
      </c>
      <c r="D47" s="4"/>
      <c r="E47" s="28"/>
      <c r="F47" s="32" t="s">
        <v>61</v>
      </c>
      <c r="G47" s="33">
        <v>0</v>
      </c>
      <c r="H47" s="33">
        <v>0</v>
      </c>
      <c r="I47" s="33">
        <f>Entertainment180206219291343[[#This Row],[Projected 
cost]]-Entertainment180206219291343[[#This Row],[Actual 
cost]]</f>
        <v>0</v>
      </c>
    </row>
    <row r="48" spans="1:9" ht="18.45" x14ac:dyDescent="0.45">
      <c r="A48" s="31" t="s">
        <v>61</v>
      </c>
      <c r="B48" s="4">
        <v>0</v>
      </c>
      <c r="C48" s="4">
        <v>0</v>
      </c>
      <c r="D48" s="4"/>
      <c r="E48" s="28"/>
      <c r="F48" s="34" t="s">
        <v>64</v>
      </c>
      <c r="G48" s="35">
        <f>SUM(Entertainment180206219291343[Projected 
cost])</f>
        <v>0</v>
      </c>
      <c r="H48" s="35">
        <f>SUM(Entertainment180206219291343[Actual 
cost])</f>
        <v>0</v>
      </c>
      <c r="I48" s="36">
        <f>SUBTOTAL(109,Entertainment180206219291343[Difference])</f>
        <v>0</v>
      </c>
    </row>
    <row r="49" spans="1:10" ht="18.45" x14ac:dyDescent="0.45">
      <c r="A49" s="37" t="s">
        <v>64</v>
      </c>
      <c r="B49" s="4">
        <f>SUM(Housing179205218290342[Projected
cost])</f>
        <v>0</v>
      </c>
      <c r="C49" s="4">
        <f>SUM(Housing179205218290342[Actual 
cost])</f>
        <v>0</v>
      </c>
      <c r="D49" s="4">
        <f>SUBTOTAL(109,Housing179205218290342[Difference])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Transportation183208221293345[[#This Row],[Projected 
cost]]-Transportation183208221293345[[#This Row],[Actual 
cost]]</f>
        <v>0</v>
      </c>
      <c r="E53" s="28"/>
      <c r="F53" s="32" t="s">
        <v>67</v>
      </c>
      <c r="G53" s="33">
        <v>0</v>
      </c>
      <c r="H53" s="33">
        <v>0</v>
      </c>
      <c r="I53" s="33">
        <f>Loans182207220292344[[#This Row],[Projected 
cost]]-Loans182207220292344[[#This Row],[Actual 
cost]]</f>
        <v>0</v>
      </c>
      <c r="J53" s="42">
        <v>0</v>
      </c>
    </row>
    <row r="54" spans="1:10" ht="15.9" x14ac:dyDescent="0.45">
      <c r="A54" s="32" t="s">
        <v>68</v>
      </c>
      <c r="B54" s="33">
        <v>0</v>
      </c>
      <c r="C54" s="33">
        <v>0</v>
      </c>
      <c r="D54" s="33">
        <f>Transportation183208221293345[[#This Row],[Projected 
cost]]-Transportation183208221293345[[#This Row],[Actual 
cost]]</f>
        <v>0</v>
      </c>
      <c r="E54" s="28"/>
      <c r="F54" s="32" t="s">
        <v>69</v>
      </c>
      <c r="G54" s="33">
        <v>0</v>
      </c>
      <c r="H54" s="33">
        <v>0</v>
      </c>
      <c r="I54" s="33">
        <f>Loans182207220292344[[#This Row],[Projected 
cost]]-Loans182207220292344[[#This Row],[Actual 
cost]]</f>
        <v>0</v>
      </c>
      <c r="J54" s="42">
        <v>0</v>
      </c>
    </row>
    <row r="55" spans="1:10" ht="15.9" x14ac:dyDescent="0.45">
      <c r="A55" s="32" t="s">
        <v>70</v>
      </c>
      <c r="B55" s="33">
        <v>0</v>
      </c>
      <c r="C55" s="33">
        <v>0</v>
      </c>
      <c r="D55" s="33">
        <f>Transportation183208221293345[[#This Row],[Projected 
cost]]-Transportation183208221293345[[#This Row],[Actual 
cost]]</f>
        <v>0</v>
      </c>
      <c r="E55" s="28"/>
      <c r="F55" s="32" t="s">
        <v>71</v>
      </c>
      <c r="G55" s="33">
        <v>0</v>
      </c>
      <c r="H55" s="33">
        <v>0</v>
      </c>
      <c r="I55" s="33">
        <f>Loans182207220292344[[#This Row],[Projected 
cost]]-Loans182207220292344[[#This Row],[Actual 
cost]]</f>
        <v>0</v>
      </c>
      <c r="J55" s="42">
        <v>0</v>
      </c>
    </row>
    <row r="56" spans="1:10" ht="15.9" x14ac:dyDescent="0.45">
      <c r="A56" s="32" t="s">
        <v>72</v>
      </c>
      <c r="B56" s="33">
        <v>0</v>
      </c>
      <c r="C56" s="33">
        <v>0</v>
      </c>
      <c r="D56" s="33">
        <f>Transportation183208221293345[[#This Row],[Projected 
cost]]-Transportation183208221293345[[#This Row],[Actual 
cost]]</f>
        <v>0</v>
      </c>
      <c r="E56" s="28"/>
      <c r="F56" s="32" t="s">
        <v>71</v>
      </c>
      <c r="G56" s="33">
        <v>0</v>
      </c>
      <c r="H56" s="33">
        <v>0</v>
      </c>
      <c r="I56" s="33">
        <f>Loans182207220292344[[#This Row],[Projected 
cost]]-Loans182207220292344[[#This Row],[Actual 
cost]]</f>
        <v>0</v>
      </c>
      <c r="J56" s="42">
        <v>0</v>
      </c>
    </row>
    <row r="57" spans="1:10" ht="15.9" x14ac:dyDescent="0.45">
      <c r="A57" s="32" t="s">
        <v>73</v>
      </c>
      <c r="B57" s="33">
        <v>0</v>
      </c>
      <c r="C57" s="33">
        <v>0</v>
      </c>
      <c r="D57" s="33">
        <f>Transportation183208221293345[[#This Row],[Projected 
cost]]-Transportation183208221293345[[#This Row],[Actual 
cost]]</f>
        <v>0</v>
      </c>
      <c r="E57" s="28"/>
      <c r="F57" s="32" t="s">
        <v>71</v>
      </c>
      <c r="G57" s="33">
        <v>0</v>
      </c>
      <c r="H57" s="33">
        <v>0</v>
      </c>
      <c r="I57" s="33">
        <f>Loans182207220292344[[#This Row],[Projected 
cost]]-Loans182207220292344[[#This Row],[Actual 
cost]]</f>
        <v>0</v>
      </c>
      <c r="J57" s="42">
        <v>0</v>
      </c>
    </row>
    <row r="58" spans="1:10" ht="15.9" x14ac:dyDescent="0.45">
      <c r="A58" s="32" t="s">
        <v>74</v>
      </c>
      <c r="B58" s="33">
        <v>0</v>
      </c>
      <c r="C58" s="33">
        <v>0</v>
      </c>
      <c r="D58" s="33">
        <f>Transportation183208221293345[[#This Row],[Projected 
cost]]-Transportation183208221293345[[#This Row],[Actual 
cost]]</f>
        <v>0</v>
      </c>
      <c r="E58" s="28"/>
      <c r="F58" s="32" t="s">
        <v>61</v>
      </c>
      <c r="G58" s="33">
        <v>0</v>
      </c>
      <c r="H58" s="33">
        <v>0</v>
      </c>
      <c r="I58" s="33">
        <f>Loans182207220292344[[#This Row],[Projected 
cost]]-Loans182207220292344[[#This Row],[Actual 
cost]]</f>
        <v>0</v>
      </c>
      <c r="J58" s="42">
        <v>0</v>
      </c>
    </row>
    <row r="59" spans="1:10" ht="18.45" x14ac:dyDescent="0.45">
      <c r="A59" s="32" t="s">
        <v>61</v>
      </c>
      <c r="B59" s="33">
        <v>0</v>
      </c>
      <c r="C59" s="33">
        <v>0</v>
      </c>
      <c r="D59" s="33">
        <f>Transportation183208221293345[[#This Row],[Projected 
cost]]-Transportation183208221293345[[#This Row],[Actual 
cost]]</f>
        <v>0</v>
      </c>
      <c r="E59" s="28"/>
      <c r="F59" s="34" t="s">
        <v>64</v>
      </c>
      <c r="G59" s="35">
        <f>SUM(Loans182207220292344[Projected 
cost])</f>
        <v>0</v>
      </c>
      <c r="H59" s="35">
        <f>SUM(Loans182207220292344[Actual 
cost])</f>
        <v>0</v>
      </c>
      <c r="I59" s="36">
        <f>SUBTOTAL(109,Loans182207220292344[Difference])</f>
        <v>0</v>
      </c>
      <c r="J59" s="43">
        <f>SUM(J53:J58)</f>
        <v>0</v>
      </c>
    </row>
    <row r="60" spans="1:10" ht="18.45" x14ac:dyDescent="0.45">
      <c r="A60" s="34" t="s">
        <v>64</v>
      </c>
      <c r="B60" s="35">
        <f>SUM(Transportation183208221293345[Projected 
cost])</f>
        <v>0</v>
      </c>
      <c r="C60" s="35">
        <f>SUM(Transportation183208221293345[Actual 
cost])</f>
        <v>0</v>
      </c>
      <c r="D60" s="36">
        <f>SUBTOTAL(109,Transportation183208221293345[Difference])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Insurance185209222294346[[#This Row],[Projected
cost]]-Insurance185209222294346[[#This Row],[Actual 
cost]]</f>
        <v>0</v>
      </c>
      <c r="E64" s="28"/>
      <c r="F64" s="32" t="s">
        <v>76</v>
      </c>
      <c r="G64" s="33">
        <v>0</v>
      </c>
      <c r="H64" s="33">
        <v>0</v>
      </c>
      <c r="I64" s="33">
        <f>Taxes187210223295347[[#This Row],[Projected 
cost]]-Taxes187210223295347[[#This Row],[Actual 
cost]]</f>
        <v>0</v>
      </c>
    </row>
    <row r="65" spans="1:9" ht="15.9" x14ac:dyDescent="0.45">
      <c r="A65" s="32" t="s">
        <v>77</v>
      </c>
      <c r="B65" s="33">
        <v>0</v>
      </c>
      <c r="C65" s="33">
        <v>0</v>
      </c>
      <c r="D65" s="33">
        <f>Insurance185209222294346[[#This Row],[Projected
cost]]-Insurance185209222294346[[#This Row],[Actual 
cost]]</f>
        <v>0</v>
      </c>
      <c r="E65" s="28"/>
      <c r="F65" s="32" t="s">
        <v>78</v>
      </c>
      <c r="G65" s="33">
        <v>0</v>
      </c>
      <c r="H65" s="33">
        <v>0</v>
      </c>
      <c r="I65" s="33">
        <f>Taxes187210223295347[[#This Row],[Projected 
cost]]-Taxes187210223295347[[#This Row],[Actual 
cost]]</f>
        <v>0</v>
      </c>
    </row>
    <row r="66" spans="1:9" ht="15.9" x14ac:dyDescent="0.45">
      <c r="A66" s="32" t="s">
        <v>79</v>
      </c>
      <c r="B66" s="33">
        <v>0</v>
      </c>
      <c r="C66" s="33">
        <v>0</v>
      </c>
      <c r="D66" s="33">
        <f>Insurance185209222294346[[#This Row],[Projected
cost]]-Insurance185209222294346[[#This Row],[Actual 
cost]]</f>
        <v>0</v>
      </c>
      <c r="E66" s="28"/>
      <c r="F66" s="32" t="s">
        <v>80</v>
      </c>
      <c r="G66" s="33">
        <v>0</v>
      </c>
      <c r="H66" s="33">
        <v>0</v>
      </c>
      <c r="I66" s="33">
        <f>Taxes187210223295347[[#This Row],[Projected 
cost]]-Taxes187210223295347[[#This Row],[Actual 
cost]]</f>
        <v>0</v>
      </c>
    </row>
    <row r="67" spans="1:9" ht="15.9" x14ac:dyDescent="0.45">
      <c r="A67" s="32" t="s">
        <v>61</v>
      </c>
      <c r="B67" s="33">
        <v>0</v>
      </c>
      <c r="C67" s="33">
        <v>0</v>
      </c>
      <c r="D67" s="33">
        <f>Insurance185209222294346[[#This Row],[Projected
cost]]-Insurance185209222294346[[#This Row],[Actual 
cost]]</f>
        <v>0</v>
      </c>
      <c r="E67" s="28"/>
      <c r="F67" s="32" t="s">
        <v>61</v>
      </c>
      <c r="G67" s="33">
        <v>0</v>
      </c>
      <c r="H67" s="33">
        <v>0</v>
      </c>
      <c r="I67" s="33">
        <f>Taxes187210223295347[[#This Row],[Projected 
cost]]-Taxes187210223295347[[#This Row],[Actual 
cost]]</f>
        <v>0</v>
      </c>
    </row>
    <row r="68" spans="1:9" ht="18.45" x14ac:dyDescent="0.45">
      <c r="A68" s="34" t="s">
        <v>64</v>
      </c>
      <c r="B68" s="35" t="s">
        <v>122</v>
      </c>
      <c r="C68" s="35">
        <f>SUM(Insurance185209222294346[Actual 
cost])</f>
        <v>0</v>
      </c>
      <c r="D68" s="36">
        <f>SUBTOTAL(109,Insurance185209222294346[Difference])</f>
        <v>0</v>
      </c>
      <c r="E68" s="28"/>
      <c r="F68" s="34" t="s">
        <v>64</v>
      </c>
      <c r="G68" s="35">
        <f>SUM(Taxes187210223295347[Projected 
cost])</f>
        <v>0</v>
      </c>
      <c r="H68" s="35">
        <f>SUM(Taxes187210223295347[Actual 
cost])</f>
        <v>0</v>
      </c>
      <c r="I68" s="36">
        <f>SUBTOTAL(109,Taxes187210223295347[Difference])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Food191212225297349[[#This Row],[Projected 
cost]]-Food191212225297349[[#This Row],[Actual 
cost]]</f>
        <v>0</v>
      </c>
      <c r="E72" s="28"/>
      <c r="F72" s="32" t="s">
        <v>83</v>
      </c>
      <c r="G72" s="33">
        <v>0</v>
      </c>
      <c r="H72" s="33">
        <v>0</v>
      </c>
      <c r="I72" s="33">
        <f>Savings189211224296348[[#This Row],[Projected 
cost]]-Savings189211224296348[[#This Row],[Actual 
cost]]</f>
        <v>0</v>
      </c>
    </row>
    <row r="73" spans="1:9" ht="15.9" x14ac:dyDescent="0.45">
      <c r="A73" s="32" t="s">
        <v>84</v>
      </c>
      <c r="B73" s="33">
        <v>0</v>
      </c>
      <c r="C73" s="33">
        <v>0</v>
      </c>
      <c r="D73" s="33">
        <f>Food191212225297349[[#This Row],[Projected 
cost]]-Food191212225297349[[#This Row],[Actual 
cost]]</f>
        <v>0</v>
      </c>
      <c r="E73" s="28"/>
      <c r="F73" s="32" t="s">
        <v>85</v>
      </c>
      <c r="G73" s="33">
        <v>0</v>
      </c>
      <c r="H73" s="33">
        <v>0</v>
      </c>
      <c r="I73" s="33">
        <f>Savings189211224296348[[#This Row],[Projected 
cost]]-Savings189211224296348[[#This Row],[Actual 
cost]]</f>
        <v>0</v>
      </c>
    </row>
    <row r="74" spans="1:9" ht="15.9" x14ac:dyDescent="0.45">
      <c r="A74" s="32" t="s">
        <v>61</v>
      </c>
      <c r="B74" s="33">
        <v>0</v>
      </c>
      <c r="C74" s="33">
        <v>0</v>
      </c>
      <c r="D74" s="33">
        <f>Food191212225297349[[#This Row],[Projected 
cost]]-Food191212225297349[[#This Row],[Actual 
cost]]</f>
        <v>0</v>
      </c>
      <c r="E74" s="28"/>
      <c r="F74" s="32" t="s">
        <v>61</v>
      </c>
      <c r="G74" s="33">
        <v>0</v>
      </c>
      <c r="H74" s="33">
        <v>0</v>
      </c>
      <c r="I74" s="33">
        <f>Savings189211224296348[[#This Row],[Projected 
cost]]-Savings189211224296348[[#This Row],[Actual 
cost]]</f>
        <v>0</v>
      </c>
    </row>
    <row r="75" spans="1:9" ht="18.45" x14ac:dyDescent="0.45">
      <c r="A75" s="34" t="s">
        <v>64</v>
      </c>
      <c r="B75" s="35">
        <f>SUM(Food191212225297349[Projected 
cost])</f>
        <v>0</v>
      </c>
      <c r="C75" s="35">
        <f>SUM(Food191212225297349[Actual 
cost])</f>
        <v>0</v>
      </c>
      <c r="D75" s="36">
        <f>SUBTOTAL(109,Food191212225297349[Difference])</f>
        <v>0</v>
      </c>
      <c r="E75" s="28"/>
      <c r="F75" s="34" t="s">
        <v>64</v>
      </c>
      <c r="G75" s="35">
        <f>SUM(Savings189211224296348[Projected 
cost])</f>
        <v>0</v>
      </c>
      <c r="H75" s="35">
        <f>SUM(Savings189211224296348[Actual 
cost])</f>
        <v>0</v>
      </c>
      <c r="I75" s="36">
        <f>SUBTOTAL(109,Savings189211224296348[Difference])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Pets195214227299351[[#This Row],[Projected 
cost]]-Pets195214227299351[[#This Row],[Actual 
cost]]</f>
        <v>0</v>
      </c>
      <c r="E79" s="28"/>
      <c r="F79" s="32" t="s">
        <v>87</v>
      </c>
      <c r="G79" s="33">
        <v>0</v>
      </c>
      <c r="H79" s="33">
        <v>0</v>
      </c>
      <c r="I79" s="33">
        <f>Gifts193213226298350[[#This Row],[Projected 
cost]]-Gifts193213226298350[[#This Row],[Actual 
cost]]</f>
        <v>0</v>
      </c>
    </row>
    <row r="80" spans="1:9" ht="15.9" x14ac:dyDescent="0.45">
      <c r="A80" s="32" t="s">
        <v>88</v>
      </c>
      <c r="B80" s="33">
        <v>0</v>
      </c>
      <c r="C80" s="33">
        <v>0</v>
      </c>
      <c r="D80" s="33">
        <f>Pets195214227299351[[#This Row],[Projected 
cost]]-Pets195214227299351[[#This Row],[Actual 
cost]]</f>
        <v>0</v>
      </c>
      <c r="E80" s="28"/>
      <c r="F80" s="32" t="s">
        <v>89</v>
      </c>
      <c r="G80" s="33">
        <v>0</v>
      </c>
      <c r="H80" s="33">
        <v>0</v>
      </c>
      <c r="I80" s="33">
        <f>Gifts193213226298350[[#This Row],[Projected 
cost]]-Gifts193213226298350[[#This Row],[Actual 
cost]]</f>
        <v>0</v>
      </c>
    </row>
    <row r="81" spans="1:10" ht="15.9" x14ac:dyDescent="0.45">
      <c r="A81" s="32" t="s">
        <v>90</v>
      </c>
      <c r="B81" s="33">
        <v>0</v>
      </c>
      <c r="C81" s="33">
        <v>0</v>
      </c>
      <c r="D81" s="33">
        <f>Pets195214227299351[[#This Row],[Projected 
cost]]-Pets195214227299351[[#This Row],[Actual 
cost]]</f>
        <v>0</v>
      </c>
      <c r="E81" s="28"/>
      <c r="F81" s="32" t="s">
        <v>91</v>
      </c>
      <c r="G81" s="33">
        <v>0</v>
      </c>
      <c r="H81" s="33">
        <v>0</v>
      </c>
      <c r="I81" s="33">
        <f>Gifts193213226298350[[#This Row],[Projected 
cost]]-Gifts193213226298350[[#This Row],[Actual 
cost]]</f>
        <v>0</v>
      </c>
    </row>
    <row r="82" spans="1:10" ht="18.45" x14ac:dyDescent="0.45">
      <c r="A82" s="32" t="s">
        <v>92</v>
      </c>
      <c r="B82" s="33">
        <v>0</v>
      </c>
      <c r="C82" s="33">
        <v>0</v>
      </c>
      <c r="D82" s="33">
        <f>Pets195214227299351[[#This Row],[Projected 
cost]]-Pets195214227299351[[#This Row],[Actual 
cost]]</f>
        <v>0</v>
      </c>
      <c r="E82" s="28"/>
      <c r="F82" s="34" t="s">
        <v>64</v>
      </c>
      <c r="G82" s="35">
        <f>SUM(Gifts193213226298350[Projected 
cost])</f>
        <v>0</v>
      </c>
      <c r="H82" s="35">
        <f>SUM(Gifts193213226298350[Actual 
cost])</f>
        <v>0</v>
      </c>
      <c r="I82" s="36">
        <f>SUBTOTAL(109,Gifts193213226298350[Difference])</f>
        <v>0</v>
      </c>
    </row>
    <row r="83" spans="1:10" ht="18.45" x14ac:dyDescent="0.45">
      <c r="A83" s="32" t="s">
        <v>61</v>
      </c>
      <c r="B83" s="33">
        <v>0</v>
      </c>
      <c r="C83" s="33">
        <v>0</v>
      </c>
      <c r="D83" s="33">
        <f>Pets195214227299351[[#This Row],[Projected 
cost]]-Pets195214227299351[[#This Row],[Actual 
cost]]</f>
        <v>0</v>
      </c>
      <c r="E83" s="28"/>
      <c r="F83" s="39"/>
      <c r="G83" s="46"/>
      <c r="H83" s="46"/>
      <c r="I83" s="33"/>
    </row>
    <row r="84" spans="1:10" ht="18.45" x14ac:dyDescent="0.45">
      <c r="A84" s="34" t="s">
        <v>64</v>
      </c>
      <c r="B84" s="51">
        <f>SUM(Pets195214227299351[Projected 
cost])</f>
        <v>0</v>
      </c>
      <c r="C84" s="51">
        <f>SUM(Pets195214227299351[Actual 
cost])</f>
        <v>0</v>
      </c>
      <c r="D84" s="51">
        <f>SUBTOTAL(109,Pets195214227299351[Difference])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PersonalCare197215228300352[[#This Row],[Projected 
cost]]-PersonalCare197215228300352[[#This Row],[Actual 
cost]]</f>
        <v>0</v>
      </c>
      <c r="E88" s="28"/>
      <c r="F88" s="32" t="s">
        <v>87</v>
      </c>
      <c r="G88" s="33">
        <v>0</v>
      </c>
      <c r="H88" s="33">
        <v>0</v>
      </c>
      <c r="I88" s="33">
        <f>Legal198216229301353[[#This Row],[Projected 
cost]]-Legal198216229301353[[#This Row],[Actual 
cost]]</f>
        <v>0</v>
      </c>
    </row>
    <row r="89" spans="1:10" ht="15.9" x14ac:dyDescent="0.45">
      <c r="A89" s="32" t="s">
        <v>94</v>
      </c>
      <c r="B89" s="33">
        <v>0</v>
      </c>
      <c r="C89" s="33">
        <v>0</v>
      </c>
      <c r="D89" s="33">
        <f>PersonalCare197215228300352[[#This Row],[Projected 
cost]]-PersonalCare197215228300352[[#This Row],[Actual 
cost]]</f>
        <v>0</v>
      </c>
      <c r="E89" s="28"/>
      <c r="F89" s="32" t="s">
        <v>89</v>
      </c>
      <c r="G89" s="33">
        <v>0</v>
      </c>
      <c r="H89" s="33">
        <v>0</v>
      </c>
      <c r="I89" s="33">
        <f>Legal198216229301353[[#This Row],[Projected 
cost]]-Legal198216229301353[[#This Row],[Actual 
cost]]</f>
        <v>0</v>
      </c>
    </row>
    <row r="90" spans="1:10" ht="15.9" x14ac:dyDescent="0.45">
      <c r="A90" s="32" t="s">
        <v>95</v>
      </c>
      <c r="B90" s="33">
        <v>0</v>
      </c>
      <c r="C90" s="33">
        <v>0</v>
      </c>
      <c r="D90" s="33">
        <f>PersonalCare197215228300352[[#This Row],[Projected 
cost]]-PersonalCare197215228300352[[#This Row],[Actual 
cost]]</f>
        <v>0</v>
      </c>
      <c r="E90" s="28"/>
      <c r="F90" s="32" t="s">
        <v>91</v>
      </c>
      <c r="G90" s="33">
        <v>0</v>
      </c>
      <c r="H90" s="33">
        <v>0</v>
      </c>
      <c r="I90" s="33">
        <f>Legal198216229301353[[#This Row],[Projected 
cost]]-Legal198216229301353[[#This Row],[Actual 
cost]]</f>
        <v>0</v>
      </c>
    </row>
    <row r="91" spans="1:10" ht="15.9" x14ac:dyDescent="0.45">
      <c r="A91" s="32" t="s">
        <v>96</v>
      </c>
      <c r="B91" s="33">
        <v>0</v>
      </c>
      <c r="C91" s="33">
        <v>0</v>
      </c>
      <c r="D91" s="33">
        <f>PersonalCare197215228300352[[#This Row],[Projected 
cost]]-PersonalCare197215228300352[[#This Row],[Actual 
cost]]</f>
        <v>0</v>
      </c>
      <c r="E91" s="28"/>
      <c r="F91" s="32" t="s">
        <v>97</v>
      </c>
      <c r="G91" s="33">
        <v>0</v>
      </c>
      <c r="H91" s="33">
        <v>0</v>
      </c>
      <c r="I91" s="33">
        <f>Legal198216229301353[[#This Row],[Projected 
cost]]-Legal198216229301353[[#This Row],[Actual 
cost]]</f>
        <v>0</v>
      </c>
    </row>
    <row r="92" spans="1:10" ht="18.45" x14ac:dyDescent="0.45">
      <c r="A92" s="32" t="s">
        <v>98</v>
      </c>
      <c r="B92" s="33">
        <v>0</v>
      </c>
      <c r="C92" s="33">
        <v>0</v>
      </c>
      <c r="D92" s="33">
        <f>PersonalCare197215228300352[[#This Row],[Projected 
cost]]-PersonalCare197215228300352[[#This Row],[Actual 
cost]]</f>
        <v>0</v>
      </c>
      <c r="E92" s="28"/>
      <c r="F92" s="34" t="s">
        <v>64</v>
      </c>
      <c r="G92" s="35">
        <f>SUM(Legal198216229301353[Projected 
cost])</f>
        <v>0</v>
      </c>
      <c r="H92" s="35">
        <f>SUM(Legal198216229301353[Actual 
cost])</f>
        <v>0</v>
      </c>
      <c r="I92" s="36">
        <f>SUBTOTAL(109,Legal198216229301353[Difference])</f>
        <v>0</v>
      </c>
    </row>
    <row r="93" spans="1:10" ht="15.9" x14ac:dyDescent="0.45">
      <c r="A93" s="32" t="s">
        <v>99</v>
      </c>
      <c r="B93" s="33">
        <v>0</v>
      </c>
      <c r="C93" s="33">
        <v>0</v>
      </c>
      <c r="D93" s="33">
        <f>PersonalCare197215228300352[[#This Row],[Projected 
cost]]-PersonalCare197215228300352[[#This Row],[Actual 
cost]]</f>
        <v>0</v>
      </c>
      <c r="E93" s="28"/>
      <c r="F93" s="38"/>
      <c r="G93" s="38"/>
      <c r="H93" s="38"/>
      <c r="I93" s="38"/>
    </row>
    <row r="94" spans="1:10" ht="15.9" customHeight="1" x14ac:dyDescent="0.45">
      <c r="A94" s="32" t="s">
        <v>61</v>
      </c>
      <c r="B94" s="33">
        <v>0</v>
      </c>
      <c r="C94" s="33">
        <v>0</v>
      </c>
      <c r="D94" s="33">
        <f>PersonalCare197215228300352[[#This Row],[Projected 
cost]]-PersonalCare197215228300352[[#This Row],[Actual 
cost]]</f>
        <v>0</v>
      </c>
      <c r="E94" s="28"/>
      <c r="F94" s="67" t="s">
        <v>121</v>
      </c>
      <c r="G94" s="67"/>
      <c r="H94" s="67"/>
      <c r="I94" s="68">
        <f>J59</f>
        <v>0</v>
      </c>
      <c r="J94" s="69" t="s">
        <v>123</v>
      </c>
    </row>
    <row r="95" spans="1:10" ht="18.45" x14ac:dyDescent="0.45">
      <c r="A95" s="34" t="s">
        <v>64</v>
      </c>
      <c r="B95" s="35">
        <f>SUM(PersonalCare197215228300352[Projected 
cost])</f>
        <v>0</v>
      </c>
      <c r="C95" s="35">
        <f>SUM(PersonalCare197215228300352[Actual 
cost])</f>
        <v>0</v>
      </c>
      <c r="D95" s="36">
        <f>SUBTOTAL(109,PersonalCare197215228300352[Difference])</f>
        <v>0</v>
      </c>
      <c r="E95" s="28"/>
      <c r="F95" s="67"/>
      <c r="G95" s="67"/>
      <c r="H95" s="67"/>
      <c r="I95" s="68"/>
      <c r="J95" s="69"/>
    </row>
    <row r="96" spans="1:10" ht="15.9" x14ac:dyDescent="0.45">
      <c r="A96" s="54"/>
      <c r="B96" s="54"/>
      <c r="C96" s="54"/>
      <c r="D96" s="54"/>
      <c r="E96" s="28"/>
      <c r="F96" s="76" t="s">
        <v>100</v>
      </c>
      <c r="G96" s="76"/>
      <c r="H96" s="76"/>
      <c r="I96" s="78">
        <f>SUBTOTAL(109,Housing179205218290342[Projected
cost],Transportation183208221293345[Projected 
cost],Insurance185209222294346[Projected
cost],Food191212225297349[Projected 
cost],Pets195214227299351[Projected 
cost],PersonalCare197215228300352[Projected 
cost],Entertainment180206219291343[Projected 
cost],Loans182207220292344[Projected 
cost],Taxes187210223295347[Projected 
cost],Savings189211224296348[Projected 
cost],Gifts193213226298350[Projected 
cost],Legal198216229301353[Projected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SUBTOTAL(109,Housing179205218290342[Actual 
cost],Transportation183208221293345[Actual 
cost],Insurance185209222294346[Actual 
cost],Food191212225297349[Actual 
cost],Pets195214227299351[Actual 
cost],PersonalCare197215228300352[Actual 
cost],Entertainment180206219291343[Actual 
cost],Loans182207220292344[Actual 
cost],Taxes187210223295347[Actual 
cost],Savings189211224296348[Actual 
cost],Gifts193213226298350[Actual 
cost],Legal198216229301353[Actual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88F76-7D17-42E5-B5CA-E963DF24E989}">
  <sheetPr>
    <tabColor theme="4" tint="0.59999389629810485"/>
  </sheetPr>
  <dimension ref="B1:T65"/>
  <sheetViews>
    <sheetView topLeftCell="A3" zoomScale="62" workbookViewId="0">
      <selection activeCell="F47" sqref="F47"/>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'November Budget'!J55</f>
        <v>0</v>
      </c>
      <c r="D4" s="42">
        <f>'November Budget'!H55</f>
        <v>0</v>
      </c>
      <c r="E4" s="59">
        <v>0</v>
      </c>
      <c r="F4" s="3" t="s">
        <v>107</v>
      </c>
      <c r="G4" s="60" t="s">
        <v>109</v>
      </c>
      <c r="H4" s="7"/>
      <c r="I4" s="7"/>
      <c r="J4" s="7"/>
      <c r="K4" s="7"/>
      <c r="L4" s="7"/>
      <c r="M4" s="7"/>
      <c r="N4" s="7"/>
      <c r="O4" s="7"/>
      <c r="P4" s="2"/>
      <c r="Q4" s="2"/>
      <c r="R4" s="2"/>
      <c r="S4" s="2"/>
      <c r="T4" s="2"/>
    </row>
    <row r="5" spans="2:20" ht="14.6" x14ac:dyDescent="0.4">
      <c r="B5" s="10"/>
      <c r="C5" s="57">
        <f>'November Budget'!J56</f>
        <v>0</v>
      </c>
      <c r="D5" s="42">
        <f>'November Budget'!H56</f>
        <v>0</v>
      </c>
      <c r="E5" s="59"/>
      <c r="F5" s="3" t="s">
        <v>108</v>
      </c>
    </row>
    <row r="6" spans="2:20" ht="14.6" x14ac:dyDescent="0.4">
      <c r="B6" s="10"/>
      <c r="C6" s="57">
        <f>'November Budget'!J57</f>
        <v>0</v>
      </c>
      <c r="D6" s="42">
        <f>'November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'November Budget'!J54</f>
        <v>0</v>
      </c>
      <c r="E45" s="9">
        <v>0</v>
      </c>
      <c r="F45" s="10">
        <f>'November Budget'!H54</f>
        <v>0</v>
      </c>
      <c r="G45" s="3" t="s">
        <v>112</v>
      </c>
    </row>
    <row r="46" spans="2:7" ht="15" customHeight="1" x14ac:dyDescent="0.4">
      <c r="C46" t="s">
        <v>67</v>
      </c>
      <c r="D46" s="10">
        <f>'November Budget'!J53</f>
        <v>0</v>
      </c>
      <c r="F46" s="10">
        <f>'November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99676D3B-2041-4F80-A8A2-828B1CDEBB9A}"/>
    <hyperlink ref="F4" r:id="rId2" xr:uid="{9EC038F8-9C51-4575-A345-EFE91F93D943}"/>
    <hyperlink ref="F5" r:id="rId3" xr:uid="{0297F2EF-38FF-443E-AC8F-DC27FBEC4D8A}"/>
  </hyperlinks>
  <pageMargins left="0.7" right="0.7" top="0.75" bottom="0.75" header="0.3" footer="0.3"/>
  <drawing r:id="rId4"/>
  <tableParts count="4">
    <tablePart r:id="rId5"/>
    <tablePart r:id="rId6"/>
    <tablePart r:id="rId7"/>
    <tablePart r:id="rId8"/>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21D418-7127-4558-AD74-6E725A9B944D}">
  <sheetPr>
    <tabColor rgb="FFC00000"/>
  </sheetPr>
  <dimension ref="A1:O150"/>
  <sheetViews>
    <sheetView topLeftCell="A44" zoomScale="59" workbookViewId="0">
      <selection activeCell="J87" sqref="J87"/>
    </sheetView>
  </sheetViews>
  <sheetFormatPr defaultRowHeight="14.6" x14ac:dyDescent="0.4"/>
  <cols>
    <col min="1" max="1" width="25.84375" style="12" customWidth="1"/>
    <col min="2" max="2" width="49.53515625" style="12" customWidth="1"/>
    <col min="3" max="3" width="20.53515625" style="12" customWidth="1"/>
    <col min="4" max="4" width="27.84375" style="12" customWidth="1"/>
    <col min="5" max="5" width="10.84375" style="12" customWidth="1"/>
    <col min="6" max="6" width="25.3046875" style="12" customWidth="1"/>
    <col min="7" max="7" width="24.15234375" style="12" customWidth="1"/>
    <col min="8" max="8" width="22" style="12" customWidth="1"/>
    <col min="9" max="9" width="22.3046875" style="12" customWidth="1"/>
    <col min="10" max="10" width="31.4609375" style="12" customWidth="1"/>
    <col min="11" max="16384" width="9.23046875" style="12"/>
  </cols>
  <sheetData>
    <row r="1" spans="1:15" hidden="1" x14ac:dyDescent="0.4">
      <c r="A1" s="11" t="s">
        <v>23</v>
      </c>
      <c r="B1" s="11" t="s">
        <v>24</v>
      </c>
      <c r="D1" s="13" t="s">
        <v>25</v>
      </c>
      <c r="E1" s="13" t="s">
        <v>24</v>
      </c>
    </row>
    <row r="2" spans="1:15" hidden="1" x14ac:dyDescent="0.4">
      <c r="A2" s="14" t="s">
        <v>26</v>
      </c>
      <c r="B2" s="14">
        <v>150</v>
      </c>
      <c r="D2" s="14" t="s">
        <v>27</v>
      </c>
      <c r="E2" s="14">
        <v>150</v>
      </c>
    </row>
    <row r="3" spans="1:15" hidden="1" x14ac:dyDescent="0.4">
      <c r="A3" s="14" t="s">
        <v>28</v>
      </c>
      <c r="B3" s="14">
        <v>250</v>
      </c>
      <c r="D3" s="14" t="s">
        <v>29</v>
      </c>
      <c r="E3" s="14">
        <v>50</v>
      </c>
    </row>
    <row r="4" spans="1:15" hidden="1" x14ac:dyDescent="0.4">
      <c r="A4" s="14" t="s">
        <v>30</v>
      </c>
      <c r="B4" s="14">
        <v>150</v>
      </c>
      <c r="D4" s="14" t="s">
        <v>31</v>
      </c>
      <c r="E4" s="14">
        <v>75</v>
      </c>
    </row>
    <row r="5" spans="1:15" hidden="1" x14ac:dyDescent="0.4">
      <c r="A5" s="14" t="s">
        <v>32</v>
      </c>
      <c r="B5" s="14">
        <v>950</v>
      </c>
      <c r="D5" s="14" t="s">
        <v>33</v>
      </c>
      <c r="E5" s="14">
        <v>175</v>
      </c>
    </row>
    <row r="6" spans="1:15" hidden="1" x14ac:dyDescent="0.4">
      <c r="A6" s="14" t="s">
        <v>34</v>
      </c>
      <c r="B6" s="14">
        <f>SUM(B2:B5)</f>
        <v>1500</v>
      </c>
      <c r="D6" s="14" t="s">
        <v>35</v>
      </c>
      <c r="E6" s="14">
        <f>SUM(E2:E5)</f>
        <v>450</v>
      </c>
      <c r="K6" s="14" t="s">
        <v>36</v>
      </c>
      <c r="L6" s="14">
        <v>2500</v>
      </c>
      <c r="N6" s="14" t="s">
        <v>36</v>
      </c>
      <c r="O6" s="14">
        <v>2500</v>
      </c>
    </row>
    <row r="7" spans="1:15" hidden="1" x14ac:dyDescent="0.4">
      <c r="K7" s="14" t="s">
        <v>24</v>
      </c>
      <c r="L7" s="14">
        <v>1500</v>
      </c>
      <c r="N7" s="14" t="s">
        <v>24</v>
      </c>
      <c r="O7" s="14">
        <f>SUM(E2:E5)</f>
        <v>450</v>
      </c>
    </row>
    <row r="8" spans="1:15" hidden="1" x14ac:dyDescent="0.4">
      <c r="K8" s="15" t="s">
        <v>37</v>
      </c>
      <c r="L8" s="15">
        <f>SUM(L6-L7)</f>
        <v>1000</v>
      </c>
      <c r="N8" s="14" t="s">
        <v>37</v>
      </c>
      <c r="O8" s="14">
        <f>SUM(O6-O7)</f>
        <v>2050</v>
      </c>
    </row>
    <row r="9" spans="1:15" hidden="1" x14ac:dyDescent="0.4"/>
    <row r="10" spans="1:15" hidden="1" x14ac:dyDescent="0.4"/>
    <row r="11" spans="1:15" hidden="1" x14ac:dyDescent="0.4"/>
    <row r="12" spans="1:15" hidden="1" x14ac:dyDescent="0.4"/>
    <row r="13" spans="1:15" hidden="1" x14ac:dyDescent="0.4"/>
    <row r="14" spans="1:15" hidden="1" x14ac:dyDescent="0.4"/>
    <row r="15" spans="1:15" hidden="1" x14ac:dyDescent="0.4"/>
    <row r="16" spans="1:15" hidden="1" x14ac:dyDescent="0.4"/>
    <row r="17" spans="1:2" hidden="1" x14ac:dyDescent="0.4"/>
    <row r="18" spans="1:2" hidden="1" x14ac:dyDescent="0.4"/>
    <row r="19" spans="1:2" hidden="1" x14ac:dyDescent="0.4"/>
    <row r="20" spans="1:2" hidden="1" x14ac:dyDescent="0.4"/>
    <row r="21" spans="1:2" hidden="1" x14ac:dyDescent="0.4"/>
    <row r="22" spans="1:2" hidden="1" x14ac:dyDescent="0.4"/>
    <row r="23" spans="1:2" hidden="1" x14ac:dyDescent="0.4"/>
    <row r="24" spans="1:2" hidden="1" x14ac:dyDescent="0.4"/>
    <row r="25" spans="1:2" hidden="1" x14ac:dyDescent="0.4"/>
    <row r="26" spans="1:2" hidden="1" x14ac:dyDescent="0.4"/>
    <row r="27" spans="1:2" hidden="1" x14ac:dyDescent="0.4"/>
    <row r="28" spans="1:2" hidden="1" x14ac:dyDescent="0.4"/>
    <row r="29" spans="1:2" hidden="1" x14ac:dyDescent="0.4"/>
    <row r="30" spans="1:2" hidden="1" x14ac:dyDescent="0.4"/>
    <row r="31" spans="1:2" ht="26.15" x14ac:dyDescent="0.4">
      <c r="A31" s="70" t="s">
        <v>38</v>
      </c>
      <c r="B31" s="71"/>
    </row>
    <row r="32" spans="1:2" ht="20.6" x14ac:dyDescent="0.4">
      <c r="A32" s="16"/>
      <c r="B32" s="17"/>
    </row>
    <row r="33" spans="1:9" ht="20.6" x14ac:dyDescent="0.4">
      <c r="A33" s="16" t="s">
        <v>39</v>
      </c>
      <c r="B33" s="18"/>
    </row>
    <row r="34" spans="1:9" ht="18.45" x14ac:dyDescent="0.4">
      <c r="A34" s="19" t="s">
        <v>40</v>
      </c>
      <c r="B34" s="20">
        <f>SUM(B32:B33)</f>
        <v>0</v>
      </c>
    </row>
    <row r="37" spans="1:9" ht="26.15" x14ac:dyDescent="0.4">
      <c r="A37" s="21" t="s">
        <v>41</v>
      </c>
      <c r="B37" s="22"/>
      <c r="C37" s="23"/>
      <c r="D37" s="23"/>
      <c r="E37" s="24"/>
      <c r="F37" s="22" t="s">
        <v>42</v>
      </c>
      <c r="G37" s="22"/>
      <c r="H37" s="22"/>
      <c r="I37" s="22"/>
    </row>
    <row r="38" spans="1:9" ht="36.9" x14ac:dyDescent="0.45">
      <c r="A38" s="25" t="s">
        <v>43</v>
      </c>
      <c r="B38" s="26" t="s">
        <v>44</v>
      </c>
      <c r="C38" s="26" t="s">
        <v>45</v>
      </c>
      <c r="D38" s="27" t="s">
        <v>46</v>
      </c>
      <c r="E38" s="28"/>
      <c r="F38" s="25" t="s">
        <v>43</v>
      </c>
      <c r="G38" s="29" t="s">
        <v>47</v>
      </c>
      <c r="H38" s="29" t="s">
        <v>45</v>
      </c>
      <c r="I38" s="30" t="s">
        <v>46</v>
      </c>
    </row>
    <row r="39" spans="1:9" ht="15.9" x14ac:dyDescent="0.45">
      <c r="A39" s="31" t="s">
        <v>48</v>
      </c>
      <c r="B39" s="4">
        <v>0</v>
      </c>
      <c r="C39" s="4">
        <v>0</v>
      </c>
      <c r="D39" s="4"/>
      <c r="E39" s="28"/>
      <c r="F39" s="32" t="s">
        <v>49</v>
      </c>
      <c r="G39" s="33">
        <v>0</v>
      </c>
      <c r="H39" s="33">
        <v>0</v>
      </c>
      <c r="I39" s="33">
        <f>Entertainment180206219291304356[[#This Row],[Projected 
cost]]-Entertainment180206219291304356[[#This Row],[Actual 
cost]]</f>
        <v>0</v>
      </c>
    </row>
    <row r="40" spans="1:9" ht="15.9" x14ac:dyDescent="0.45">
      <c r="A40" s="31" t="s">
        <v>50</v>
      </c>
      <c r="B40" s="4">
        <v>0</v>
      </c>
      <c r="C40" s="4">
        <v>0</v>
      </c>
      <c r="D40" s="4"/>
      <c r="E40" s="28"/>
      <c r="F40" s="32" t="s">
        <v>51</v>
      </c>
      <c r="G40" s="33">
        <v>0</v>
      </c>
      <c r="H40" s="33">
        <v>0</v>
      </c>
      <c r="I40" s="33">
        <f>Entertainment180206219291304356[[#This Row],[Projected 
cost]]-Entertainment180206219291304356[[#This Row],[Actual 
cost]]</f>
        <v>0</v>
      </c>
    </row>
    <row r="41" spans="1:9" ht="15.9" x14ac:dyDescent="0.45">
      <c r="A41" s="31" t="s">
        <v>52</v>
      </c>
      <c r="B41" s="4">
        <v>0</v>
      </c>
      <c r="C41" s="4">
        <v>0</v>
      </c>
      <c r="D41" s="4"/>
      <c r="E41" s="28"/>
      <c r="F41" s="32" t="s">
        <v>53</v>
      </c>
      <c r="G41" s="33">
        <v>0</v>
      </c>
      <c r="H41" s="33">
        <v>0</v>
      </c>
      <c r="I41" s="33">
        <f>Entertainment180206219291304356[[#This Row],[Projected 
cost]]-Entertainment180206219291304356[[#This Row],[Actual 
cost]]</f>
        <v>0</v>
      </c>
    </row>
    <row r="42" spans="1:9" ht="15.9" x14ac:dyDescent="0.45">
      <c r="A42" s="31" t="s">
        <v>54</v>
      </c>
      <c r="B42" s="4">
        <v>0</v>
      </c>
      <c r="C42" s="4">
        <v>0</v>
      </c>
      <c r="D42" s="4"/>
      <c r="E42" s="28"/>
      <c r="F42" s="32" t="s">
        <v>55</v>
      </c>
      <c r="G42" s="33">
        <v>0</v>
      </c>
      <c r="H42" s="33">
        <v>0</v>
      </c>
      <c r="I42" s="33">
        <f>Entertainment180206219291304356[[#This Row],[Projected 
cost]]-Entertainment180206219291304356[[#This Row],[Actual 
cost]]</f>
        <v>0</v>
      </c>
    </row>
    <row r="43" spans="1:9" ht="15.9" x14ac:dyDescent="0.45">
      <c r="A43" s="31" t="s">
        <v>56</v>
      </c>
      <c r="B43" s="4">
        <v>0</v>
      </c>
      <c r="C43" s="4">
        <v>0</v>
      </c>
      <c r="D43" s="4"/>
      <c r="E43" s="28"/>
      <c r="F43" s="32" t="s">
        <v>57</v>
      </c>
      <c r="G43" s="33">
        <v>0</v>
      </c>
      <c r="H43" s="33">
        <v>0</v>
      </c>
      <c r="I43" s="33">
        <f>Entertainment180206219291304356[[#This Row],[Projected 
cost]]-Entertainment180206219291304356[[#This Row],[Actual 
cost]]</f>
        <v>0</v>
      </c>
    </row>
    <row r="44" spans="1:9" ht="15.9" x14ac:dyDescent="0.45">
      <c r="A44" s="31" t="s">
        <v>58</v>
      </c>
      <c r="B44" s="4">
        <v>0</v>
      </c>
      <c r="C44" s="4">
        <v>0</v>
      </c>
      <c r="D44" s="4"/>
      <c r="E44" s="28"/>
      <c r="F44" s="32" t="s">
        <v>59</v>
      </c>
      <c r="G44" s="33">
        <v>0</v>
      </c>
      <c r="H44" s="33">
        <v>0</v>
      </c>
      <c r="I44" s="33">
        <f>Entertainment180206219291304356[[#This Row],[Projected 
cost]]-Entertainment180206219291304356[[#This Row],[Actual 
cost]]</f>
        <v>0</v>
      </c>
    </row>
    <row r="45" spans="1:9" ht="15.9" x14ac:dyDescent="0.45">
      <c r="A45" s="31" t="s">
        <v>60</v>
      </c>
      <c r="B45" s="4">
        <v>0</v>
      </c>
      <c r="C45" s="4">
        <v>0</v>
      </c>
      <c r="D45" s="4"/>
      <c r="E45" s="28"/>
      <c r="F45" s="32" t="s">
        <v>61</v>
      </c>
      <c r="G45" s="33">
        <v>0</v>
      </c>
      <c r="H45" s="33">
        <v>0</v>
      </c>
      <c r="I45" s="33">
        <f>Entertainment180206219291304356[[#This Row],[Projected 
cost]]-Entertainment180206219291304356[[#This Row],[Actual 
cost]]</f>
        <v>0</v>
      </c>
    </row>
    <row r="46" spans="1:9" ht="15.9" x14ac:dyDescent="0.45">
      <c r="A46" s="31" t="s">
        <v>62</v>
      </c>
      <c r="B46" s="4">
        <v>0</v>
      </c>
      <c r="C46" s="4">
        <v>0</v>
      </c>
      <c r="D46" s="4"/>
      <c r="E46" s="28"/>
      <c r="F46" s="32" t="s">
        <v>61</v>
      </c>
      <c r="G46" s="33">
        <v>0</v>
      </c>
      <c r="H46" s="33">
        <v>0</v>
      </c>
      <c r="I46" s="33">
        <f>Entertainment180206219291304356[[#This Row],[Projected 
cost]]-Entertainment180206219291304356[[#This Row],[Actual 
cost]]</f>
        <v>0</v>
      </c>
    </row>
    <row r="47" spans="1:9" ht="15.9" x14ac:dyDescent="0.45">
      <c r="A47" s="31" t="s">
        <v>63</v>
      </c>
      <c r="B47" s="4">
        <v>0</v>
      </c>
      <c r="C47" s="4">
        <v>0</v>
      </c>
      <c r="D47" s="4"/>
      <c r="E47" s="28"/>
      <c r="F47" s="32" t="s">
        <v>61</v>
      </c>
      <c r="G47" s="33">
        <v>0</v>
      </c>
      <c r="H47" s="33">
        <v>0</v>
      </c>
      <c r="I47" s="33">
        <f>Entertainment180206219291304356[[#This Row],[Projected 
cost]]-Entertainment180206219291304356[[#This Row],[Actual 
cost]]</f>
        <v>0</v>
      </c>
    </row>
    <row r="48" spans="1:9" ht="18.45" x14ac:dyDescent="0.45">
      <c r="A48" s="31" t="s">
        <v>61</v>
      </c>
      <c r="B48" s="4">
        <v>0</v>
      </c>
      <c r="C48" s="4">
        <v>0</v>
      </c>
      <c r="D48" s="4"/>
      <c r="E48" s="28"/>
      <c r="F48" s="34" t="s">
        <v>64</v>
      </c>
      <c r="G48" s="35">
        <f>SUM(Entertainment180206219291304356[Projected 
cost])</f>
        <v>0</v>
      </c>
      <c r="H48" s="35">
        <f>SUM(Entertainment180206219291304356[Actual 
cost])</f>
        <v>0</v>
      </c>
      <c r="I48" s="36">
        <f>SUBTOTAL(109,Entertainment180206219291304356[Difference])</f>
        <v>0</v>
      </c>
    </row>
    <row r="49" spans="1:10" ht="18.45" x14ac:dyDescent="0.45">
      <c r="A49" s="37" t="s">
        <v>64</v>
      </c>
      <c r="B49" s="4">
        <f>SUM(Housing179205218290303355[Projected
cost])</f>
        <v>0</v>
      </c>
      <c r="C49" s="4">
        <f>SUM(Housing179205218290303355[Actual 
cost])</f>
        <v>0</v>
      </c>
      <c r="D49" s="4">
        <f>SUBTOTAL(109,Housing179205218290303355[Difference])</f>
        <v>0</v>
      </c>
      <c r="E49" s="28"/>
      <c r="F49" s="38"/>
      <c r="G49" s="38"/>
      <c r="H49" s="38"/>
      <c r="I49" s="38"/>
    </row>
    <row r="50" spans="1:10" ht="18.45" x14ac:dyDescent="0.45">
      <c r="A50" s="39"/>
      <c r="B50" s="33"/>
      <c r="C50" s="33"/>
      <c r="D50" s="33"/>
      <c r="E50" s="28"/>
      <c r="F50" s="38"/>
      <c r="G50" s="38"/>
      <c r="H50" s="38"/>
      <c r="I50" s="38"/>
    </row>
    <row r="51" spans="1:10" ht="26.15" x14ac:dyDescent="0.45">
      <c r="A51" s="72" t="s">
        <v>65</v>
      </c>
      <c r="B51" s="72"/>
      <c r="C51" s="72"/>
      <c r="D51" s="72"/>
      <c r="E51" s="40"/>
      <c r="F51" s="73" t="s">
        <v>13</v>
      </c>
      <c r="G51" s="73"/>
      <c r="H51" s="73"/>
      <c r="I51" s="73"/>
    </row>
    <row r="52" spans="1:10" ht="36.9" x14ac:dyDescent="0.45">
      <c r="A52" s="25" t="s">
        <v>43</v>
      </c>
      <c r="B52" s="29" t="s">
        <v>47</v>
      </c>
      <c r="C52" s="29" t="s">
        <v>45</v>
      </c>
      <c r="D52" s="30" t="s">
        <v>46</v>
      </c>
      <c r="E52" s="28"/>
      <c r="F52" s="25" t="s">
        <v>43</v>
      </c>
      <c r="G52" s="29" t="s">
        <v>47</v>
      </c>
      <c r="H52" s="29" t="s">
        <v>45</v>
      </c>
      <c r="I52" s="30" t="s">
        <v>46</v>
      </c>
      <c r="J52" s="41" t="s">
        <v>120</v>
      </c>
    </row>
    <row r="53" spans="1:10" ht="15.9" x14ac:dyDescent="0.45">
      <c r="A53" s="32" t="s">
        <v>66</v>
      </c>
      <c r="B53" s="33">
        <v>0</v>
      </c>
      <c r="C53" s="33">
        <v>0</v>
      </c>
      <c r="D53" s="33">
        <f>Transportation183208221293306358[[#This Row],[Projected 
cost]]-Transportation183208221293306358[[#This Row],[Actual 
cost]]</f>
        <v>0</v>
      </c>
      <c r="E53" s="28"/>
      <c r="F53" s="32" t="s">
        <v>67</v>
      </c>
      <c r="G53" s="33">
        <v>0</v>
      </c>
      <c r="H53" s="33">
        <v>0</v>
      </c>
      <c r="I53" s="33">
        <f>Loans182207220292305357[[#This Row],[Projected 
cost]]-Loans182207220292305357[[#This Row],[Actual 
cost]]</f>
        <v>0</v>
      </c>
      <c r="J53" s="42">
        <v>0</v>
      </c>
    </row>
    <row r="54" spans="1:10" ht="15.9" x14ac:dyDescent="0.45">
      <c r="A54" s="32" t="s">
        <v>68</v>
      </c>
      <c r="B54" s="33">
        <v>0</v>
      </c>
      <c r="C54" s="33">
        <v>0</v>
      </c>
      <c r="D54" s="33">
        <f>Transportation183208221293306358[[#This Row],[Projected 
cost]]-Transportation183208221293306358[[#This Row],[Actual 
cost]]</f>
        <v>0</v>
      </c>
      <c r="E54" s="28"/>
      <c r="F54" s="32" t="s">
        <v>69</v>
      </c>
      <c r="G54" s="33">
        <v>0</v>
      </c>
      <c r="H54" s="33">
        <v>0</v>
      </c>
      <c r="I54" s="33">
        <f>Loans182207220292305357[[#This Row],[Projected 
cost]]-Loans182207220292305357[[#This Row],[Actual 
cost]]</f>
        <v>0</v>
      </c>
      <c r="J54" s="42">
        <v>0</v>
      </c>
    </row>
    <row r="55" spans="1:10" ht="15.9" x14ac:dyDescent="0.45">
      <c r="A55" s="32" t="s">
        <v>70</v>
      </c>
      <c r="B55" s="33">
        <v>0</v>
      </c>
      <c r="C55" s="33">
        <v>0</v>
      </c>
      <c r="D55" s="33">
        <f>Transportation183208221293306358[[#This Row],[Projected 
cost]]-Transportation183208221293306358[[#This Row],[Actual 
cost]]</f>
        <v>0</v>
      </c>
      <c r="E55" s="28"/>
      <c r="F55" s="32" t="s">
        <v>71</v>
      </c>
      <c r="G55" s="33">
        <v>0</v>
      </c>
      <c r="H55" s="33">
        <v>0</v>
      </c>
      <c r="I55" s="33">
        <f>Loans182207220292305357[[#This Row],[Projected 
cost]]-Loans182207220292305357[[#This Row],[Actual 
cost]]</f>
        <v>0</v>
      </c>
      <c r="J55" s="42">
        <v>0</v>
      </c>
    </row>
    <row r="56" spans="1:10" ht="15.9" x14ac:dyDescent="0.45">
      <c r="A56" s="32" t="s">
        <v>72</v>
      </c>
      <c r="B56" s="33">
        <v>0</v>
      </c>
      <c r="C56" s="33">
        <v>0</v>
      </c>
      <c r="D56" s="33">
        <f>Transportation183208221293306358[[#This Row],[Projected 
cost]]-Transportation183208221293306358[[#This Row],[Actual 
cost]]</f>
        <v>0</v>
      </c>
      <c r="E56" s="28"/>
      <c r="F56" s="32" t="s">
        <v>71</v>
      </c>
      <c r="G56" s="33">
        <v>0</v>
      </c>
      <c r="H56" s="33">
        <v>0</v>
      </c>
      <c r="I56" s="33">
        <f>Loans182207220292305357[[#This Row],[Projected 
cost]]-Loans182207220292305357[[#This Row],[Actual 
cost]]</f>
        <v>0</v>
      </c>
      <c r="J56" s="42">
        <v>0</v>
      </c>
    </row>
    <row r="57" spans="1:10" ht="15.9" x14ac:dyDescent="0.45">
      <c r="A57" s="32" t="s">
        <v>73</v>
      </c>
      <c r="B57" s="33">
        <v>0</v>
      </c>
      <c r="C57" s="33">
        <v>0</v>
      </c>
      <c r="D57" s="33">
        <f>Transportation183208221293306358[[#This Row],[Projected 
cost]]-Transportation183208221293306358[[#This Row],[Actual 
cost]]</f>
        <v>0</v>
      </c>
      <c r="E57" s="28"/>
      <c r="F57" s="32" t="s">
        <v>71</v>
      </c>
      <c r="G57" s="33">
        <v>0</v>
      </c>
      <c r="H57" s="33">
        <v>0</v>
      </c>
      <c r="I57" s="33">
        <f>Loans182207220292305357[[#This Row],[Projected 
cost]]-Loans182207220292305357[[#This Row],[Actual 
cost]]</f>
        <v>0</v>
      </c>
      <c r="J57" s="42">
        <v>0</v>
      </c>
    </row>
    <row r="58" spans="1:10" ht="15.9" x14ac:dyDescent="0.45">
      <c r="A58" s="32" t="s">
        <v>74</v>
      </c>
      <c r="B58" s="33">
        <v>0</v>
      </c>
      <c r="C58" s="33">
        <v>0</v>
      </c>
      <c r="D58" s="33">
        <f>Transportation183208221293306358[[#This Row],[Projected 
cost]]-Transportation183208221293306358[[#This Row],[Actual 
cost]]</f>
        <v>0</v>
      </c>
      <c r="E58" s="28"/>
      <c r="F58" s="32" t="s">
        <v>61</v>
      </c>
      <c r="G58" s="33">
        <v>0</v>
      </c>
      <c r="H58" s="33">
        <v>0</v>
      </c>
      <c r="I58" s="33">
        <f>Loans182207220292305357[[#This Row],[Projected 
cost]]-Loans182207220292305357[[#This Row],[Actual 
cost]]</f>
        <v>0</v>
      </c>
      <c r="J58" s="42">
        <v>0</v>
      </c>
    </row>
    <row r="59" spans="1:10" ht="18.45" x14ac:dyDescent="0.45">
      <c r="A59" s="32" t="s">
        <v>61</v>
      </c>
      <c r="B59" s="33">
        <v>0</v>
      </c>
      <c r="C59" s="33">
        <v>0</v>
      </c>
      <c r="D59" s="33">
        <f>Transportation183208221293306358[[#This Row],[Projected 
cost]]-Transportation183208221293306358[[#This Row],[Actual 
cost]]</f>
        <v>0</v>
      </c>
      <c r="E59" s="28"/>
      <c r="F59" s="34" t="s">
        <v>64</v>
      </c>
      <c r="G59" s="35">
        <f>SUM(Loans182207220292305357[Projected 
cost])</f>
        <v>0</v>
      </c>
      <c r="H59" s="35">
        <f>SUM(Loans182207220292305357[Actual 
cost])</f>
        <v>0</v>
      </c>
      <c r="I59" s="36">
        <f>SUBTOTAL(109,Loans182207220292305357[Difference])</f>
        <v>0</v>
      </c>
      <c r="J59" s="43">
        <f>SUM(J53:J58)</f>
        <v>0</v>
      </c>
    </row>
    <row r="60" spans="1:10" ht="18.45" x14ac:dyDescent="0.45">
      <c r="A60" s="34" t="s">
        <v>64</v>
      </c>
      <c r="B60" s="35">
        <f>SUM(Transportation183208221293306358[Projected 
cost])</f>
        <v>0</v>
      </c>
      <c r="C60" s="35">
        <f>SUM(Transportation183208221293306358[Actual 
cost])</f>
        <v>0</v>
      </c>
      <c r="D60" s="36">
        <f>SUBTOTAL(109,Transportation183208221293306358[Difference])</f>
        <v>0</v>
      </c>
      <c r="E60" s="28"/>
      <c r="F60" s="37"/>
      <c r="G60" s="56"/>
      <c r="H60" s="56"/>
      <c r="I60" s="56"/>
    </row>
    <row r="61" spans="1:10" ht="18.45" x14ac:dyDescent="0.45">
      <c r="A61" s="45"/>
      <c r="B61" s="46"/>
      <c r="C61" s="46"/>
      <c r="D61" s="33"/>
      <c r="E61" s="28"/>
      <c r="F61" s="74"/>
      <c r="G61" s="74"/>
      <c r="H61" s="74"/>
      <c r="I61" s="74"/>
    </row>
    <row r="62" spans="1:10" ht="26.15" x14ac:dyDescent="0.45">
      <c r="A62" s="73" t="s">
        <v>70</v>
      </c>
      <c r="B62" s="73"/>
      <c r="C62" s="73"/>
      <c r="D62" s="73"/>
      <c r="E62" s="40"/>
      <c r="F62" s="73" t="s">
        <v>19</v>
      </c>
      <c r="G62" s="73"/>
      <c r="H62" s="73"/>
      <c r="I62" s="73"/>
    </row>
    <row r="63" spans="1:10" ht="36.9" x14ac:dyDescent="0.45">
      <c r="A63" s="25" t="s">
        <v>43</v>
      </c>
      <c r="B63" s="29" t="s">
        <v>44</v>
      </c>
      <c r="C63" s="29" t="s">
        <v>45</v>
      </c>
      <c r="D63" s="30" t="s">
        <v>46</v>
      </c>
      <c r="E63" s="28"/>
      <c r="F63" s="25" t="s">
        <v>43</v>
      </c>
      <c r="G63" s="29" t="s">
        <v>47</v>
      </c>
      <c r="H63" s="29" t="s">
        <v>45</v>
      </c>
      <c r="I63" s="30" t="s">
        <v>46</v>
      </c>
    </row>
    <row r="64" spans="1:10" ht="15.9" x14ac:dyDescent="0.45">
      <c r="A64" s="32" t="s">
        <v>75</v>
      </c>
      <c r="B64" s="33">
        <v>0</v>
      </c>
      <c r="C64" s="33">
        <v>0</v>
      </c>
      <c r="D64" s="33">
        <f>Insurance185209222294307359[[#This Row],[Projected
cost]]-Insurance185209222294307359[[#This Row],[Actual 
cost]]</f>
        <v>0</v>
      </c>
      <c r="E64" s="28"/>
      <c r="F64" s="32" t="s">
        <v>76</v>
      </c>
      <c r="G64" s="33">
        <v>0</v>
      </c>
      <c r="H64" s="33">
        <v>0</v>
      </c>
      <c r="I64" s="33">
        <f>Taxes187210223295308360[[#This Row],[Projected 
cost]]-Taxes187210223295308360[[#This Row],[Actual 
cost]]</f>
        <v>0</v>
      </c>
    </row>
    <row r="65" spans="1:9" ht="15.9" x14ac:dyDescent="0.45">
      <c r="A65" s="32" t="s">
        <v>77</v>
      </c>
      <c r="B65" s="33">
        <v>0</v>
      </c>
      <c r="C65" s="33">
        <v>0</v>
      </c>
      <c r="D65" s="33">
        <f>Insurance185209222294307359[[#This Row],[Projected
cost]]-Insurance185209222294307359[[#This Row],[Actual 
cost]]</f>
        <v>0</v>
      </c>
      <c r="E65" s="28"/>
      <c r="F65" s="32" t="s">
        <v>78</v>
      </c>
      <c r="G65" s="33">
        <v>0</v>
      </c>
      <c r="H65" s="33">
        <v>0</v>
      </c>
      <c r="I65" s="33">
        <f>Taxes187210223295308360[[#This Row],[Projected 
cost]]-Taxes187210223295308360[[#This Row],[Actual 
cost]]</f>
        <v>0</v>
      </c>
    </row>
    <row r="66" spans="1:9" ht="15.9" x14ac:dyDescent="0.45">
      <c r="A66" s="32" t="s">
        <v>79</v>
      </c>
      <c r="B66" s="33">
        <v>0</v>
      </c>
      <c r="C66" s="33">
        <v>0</v>
      </c>
      <c r="D66" s="33">
        <f>Insurance185209222294307359[[#This Row],[Projected
cost]]-Insurance185209222294307359[[#This Row],[Actual 
cost]]</f>
        <v>0</v>
      </c>
      <c r="E66" s="28"/>
      <c r="F66" s="32" t="s">
        <v>80</v>
      </c>
      <c r="G66" s="33">
        <v>0</v>
      </c>
      <c r="H66" s="33">
        <v>0</v>
      </c>
      <c r="I66" s="33">
        <f>Taxes187210223295308360[[#This Row],[Projected 
cost]]-Taxes187210223295308360[[#This Row],[Actual 
cost]]</f>
        <v>0</v>
      </c>
    </row>
    <row r="67" spans="1:9" ht="15.9" x14ac:dyDescent="0.45">
      <c r="A67" s="32" t="s">
        <v>61</v>
      </c>
      <c r="B67" s="33">
        <v>0</v>
      </c>
      <c r="C67" s="33">
        <v>0</v>
      </c>
      <c r="D67" s="33">
        <f>Insurance185209222294307359[[#This Row],[Projected
cost]]-Insurance185209222294307359[[#This Row],[Actual 
cost]]</f>
        <v>0</v>
      </c>
      <c r="E67" s="28"/>
      <c r="F67" s="32" t="s">
        <v>61</v>
      </c>
      <c r="G67" s="33">
        <v>0</v>
      </c>
      <c r="H67" s="33">
        <v>0</v>
      </c>
      <c r="I67" s="33">
        <f>Taxes187210223295308360[[#This Row],[Projected 
cost]]-Taxes187210223295308360[[#This Row],[Actual 
cost]]</f>
        <v>0</v>
      </c>
    </row>
    <row r="68" spans="1:9" ht="18.45" x14ac:dyDescent="0.45">
      <c r="A68" s="34" t="s">
        <v>64</v>
      </c>
      <c r="B68" s="35" t="s">
        <v>122</v>
      </c>
      <c r="C68" s="35">
        <f>SUM(Insurance185209222294307359[Actual 
cost])</f>
        <v>0</v>
      </c>
      <c r="D68" s="36">
        <f>SUBTOTAL(109,Insurance185209222294307359[Difference])</f>
        <v>0</v>
      </c>
      <c r="E68" s="28"/>
      <c r="F68" s="34" t="s">
        <v>64</v>
      </c>
      <c r="G68" s="35">
        <f>SUM(Taxes187210223295308360[Projected 
cost])</f>
        <v>0</v>
      </c>
      <c r="H68" s="35">
        <f>SUM(Taxes187210223295308360[Actual 
cost])</f>
        <v>0</v>
      </c>
      <c r="I68" s="36">
        <f>SUBTOTAL(109,Taxes187210223295308360[Difference])</f>
        <v>0</v>
      </c>
    </row>
    <row r="69" spans="1:9" ht="15.9" x14ac:dyDescent="0.45">
      <c r="A69" s="47"/>
      <c r="B69" s="48"/>
      <c r="C69" s="48"/>
      <c r="D69" s="33"/>
      <c r="E69" s="28"/>
      <c r="F69" s="38"/>
      <c r="G69" s="38"/>
      <c r="H69" s="38"/>
      <c r="I69" s="38"/>
    </row>
    <row r="70" spans="1:9" ht="26.15" x14ac:dyDescent="0.45">
      <c r="A70" s="72" t="s">
        <v>81</v>
      </c>
      <c r="B70" s="72"/>
      <c r="C70" s="72"/>
      <c r="D70" s="72"/>
      <c r="E70" s="40"/>
      <c r="F70" s="73" t="s">
        <v>82</v>
      </c>
      <c r="G70" s="73"/>
      <c r="H70" s="73"/>
      <c r="I70" s="73"/>
    </row>
    <row r="71" spans="1:9" ht="36.9" x14ac:dyDescent="0.45">
      <c r="A71" s="25" t="s">
        <v>43</v>
      </c>
      <c r="B71" s="29" t="s">
        <v>47</v>
      </c>
      <c r="C71" s="29" t="s">
        <v>45</v>
      </c>
      <c r="D71" s="30" t="s">
        <v>46</v>
      </c>
      <c r="E71" s="28"/>
      <c r="F71" s="25" t="s">
        <v>43</v>
      </c>
      <c r="G71" s="29" t="s">
        <v>47</v>
      </c>
      <c r="H71" s="29" t="s">
        <v>45</v>
      </c>
      <c r="I71" s="30" t="s">
        <v>46</v>
      </c>
    </row>
    <row r="72" spans="1:9" ht="15.9" x14ac:dyDescent="0.45">
      <c r="A72" s="32" t="s">
        <v>30</v>
      </c>
      <c r="B72" s="33">
        <v>0</v>
      </c>
      <c r="C72" s="33">
        <v>0</v>
      </c>
      <c r="D72" s="33">
        <f>Food191212225297310362[[#This Row],[Projected 
cost]]-Food191212225297310362[[#This Row],[Actual 
cost]]</f>
        <v>0</v>
      </c>
      <c r="E72" s="28"/>
      <c r="F72" s="32" t="s">
        <v>83</v>
      </c>
      <c r="G72" s="33">
        <v>0</v>
      </c>
      <c r="H72" s="33">
        <v>0</v>
      </c>
      <c r="I72" s="33">
        <f>Savings189211224296309361[[#This Row],[Projected 
cost]]-Savings189211224296309361[[#This Row],[Actual 
cost]]</f>
        <v>0</v>
      </c>
    </row>
    <row r="73" spans="1:9" ht="15.9" x14ac:dyDescent="0.45">
      <c r="A73" s="32" t="s">
        <v>84</v>
      </c>
      <c r="B73" s="33">
        <v>0</v>
      </c>
      <c r="C73" s="33">
        <v>0</v>
      </c>
      <c r="D73" s="33">
        <f>Food191212225297310362[[#This Row],[Projected 
cost]]-Food191212225297310362[[#This Row],[Actual 
cost]]</f>
        <v>0</v>
      </c>
      <c r="E73" s="28"/>
      <c r="F73" s="32" t="s">
        <v>85</v>
      </c>
      <c r="G73" s="33">
        <v>0</v>
      </c>
      <c r="H73" s="33">
        <v>0</v>
      </c>
      <c r="I73" s="33">
        <f>Savings189211224296309361[[#This Row],[Projected 
cost]]-Savings189211224296309361[[#This Row],[Actual 
cost]]</f>
        <v>0</v>
      </c>
    </row>
    <row r="74" spans="1:9" ht="15.9" x14ac:dyDescent="0.45">
      <c r="A74" s="32" t="s">
        <v>61</v>
      </c>
      <c r="B74" s="33">
        <v>0</v>
      </c>
      <c r="C74" s="33">
        <v>0</v>
      </c>
      <c r="D74" s="33">
        <f>Food191212225297310362[[#This Row],[Projected 
cost]]-Food191212225297310362[[#This Row],[Actual 
cost]]</f>
        <v>0</v>
      </c>
      <c r="E74" s="28"/>
      <c r="F74" s="32" t="s">
        <v>61</v>
      </c>
      <c r="G74" s="33">
        <v>0</v>
      </c>
      <c r="H74" s="33">
        <v>0</v>
      </c>
      <c r="I74" s="33">
        <f>Savings189211224296309361[[#This Row],[Projected 
cost]]-Savings189211224296309361[[#This Row],[Actual 
cost]]</f>
        <v>0</v>
      </c>
    </row>
    <row r="75" spans="1:9" ht="18.45" x14ac:dyDescent="0.45">
      <c r="A75" s="34" t="s">
        <v>64</v>
      </c>
      <c r="B75" s="35">
        <f>SUM(Food191212225297310362[Projected 
cost])</f>
        <v>0</v>
      </c>
      <c r="C75" s="35">
        <f>SUM(Food191212225297310362[Actual 
cost])</f>
        <v>0</v>
      </c>
      <c r="D75" s="36">
        <f>SUBTOTAL(109,Food191212225297310362[Difference])</f>
        <v>0</v>
      </c>
      <c r="E75" s="28"/>
      <c r="F75" s="34" t="s">
        <v>64</v>
      </c>
      <c r="G75" s="35">
        <f>SUM(Savings189211224296309361[Projected 
cost])</f>
        <v>0</v>
      </c>
      <c r="H75" s="35">
        <f>SUM(Savings189211224296309361[Actual 
cost])</f>
        <v>0</v>
      </c>
      <c r="I75" s="36">
        <f>SUBTOTAL(109,Savings189211224296309361[Difference])</f>
        <v>0</v>
      </c>
    </row>
    <row r="76" spans="1:9" ht="15.9" x14ac:dyDescent="0.45">
      <c r="A76" s="47"/>
      <c r="B76" s="44"/>
      <c r="C76" s="44"/>
      <c r="D76" s="44"/>
      <c r="E76" s="28"/>
      <c r="F76" s="49"/>
      <c r="G76" s="50"/>
      <c r="H76" s="50"/>
      <c r="I76" s="50"/>
    </row>
    <row r="77" spans="1:9" ht="26.15" x14ac:dyDescent="0.45">
      <c r="A77" s="72" t="s">
        <v>86</v>
      </c>
      <c r="B77" s="72"/>
      <c r="C77" s="72"/>
      <c r="D77" s="72"/>
      <c r="E77" s="40"/>
      <c r="F77" s="73" t="s">
        <v>61</v>
      </c>
      <c r="G77" s="73"/>
      <c r="H77" s="73"/>
      <c r="I77" s="73"/>
    </row>
    <row r="78" spans="1:9" ht="36.9" x14ac:dyDescent="0.45">
      <c r="A78" s="25" t="s">
        <v>43</v>
      </c>
      <c r="B78" s="29" t="s">
        <v>47</v>
      </c>
      <c r="C78" s="29" t="s">
        <v>45</v>
      </c>
      <c r="D78" s="30" t="s">
        <v>46</v>
      </c>
      <c r="E78" s="28"/>
      <c r="F78" s="25" t="s">
        <v>43</v>
      </c>
      <c r="G78" s="29" t="s">
        <v>47</v>
      </c>
      <c r="H78" s="29" t="s">
        <v>45</v>
      </c>
      <c r="I78" s="30" t="s">
        <v>46</v>
      </c>
    </row>
    <row r="79" spans="1:9" ht="15.9" x14ac:dyDescent="0.45">
      <c r="A79" s="32" t="s">
        <v>81</v>
      </c>
      <c r="B79" s="33">
        <v>0</v>
      </c>
      <c r="C79" s="33">
        <v>0</v>
      </c>
      <c r="D79" s="33">
        <f>Pets195214227299312364[[#This Row],[Projected 
cost]]-Pets195214227299312364[[#This Row],[Actual 
cost]]</f>
        <v>0</v>
      </c>
      <c r="E79" s="28"/>
      <c r="F79" s="32" t="s">
        <v>87</v>
      </c>
      <c r="G79" s="33">
        <v>0</v>
      </c>
      <c r="H79" s="33">
        <v>0</v>
      </c>
      <c r="I79" s="33">
        <f>Gifts193213226298311363[[#This Row],[Projected 
cost]]-Gifts193213226298311363[[#This Row],[Actual 
cost]]</f>
        <v>0</v>
      </c>
    </row>
    <row r="80" spans="1:9" ht="15.9" x14ac:dyDescent="0.45">
      <c r="A80" s="32" t="s">
        <v>88</v>
      </c>
      <c r="B80" s="33">
        <v>0</v>
      </c>
      <c r="C80" s="33">
        <v>0</v>
      </c>
      <c r="D80" s="33">
        <f>Pets195214227299312364[[#This Row],[Projected 
cost]]-Pets195214227299312364[[#This Row],[Actual 
cost]]</f>
        <v>0</v>
      </c>
      <c r="E80" s="28"/>
      <c r="F80" s="32" t="s">
        <v>89</v>
      </c>
      <c r="G80" s="33">
        <v>0</v>
      </c>
      <c r="H80" s="33">
        <v>0</v>
      </c>
      <c r="I80" s="33">
        <f>Gifts193213226298311363[[#This Row],[Projected 
cost]]-Gifts193213226298311363[[#This Row],[Actual 
cost]]</f>
        <v>0</v>
      </c>
    </row>
    <row r="81" spans="1:10" ht="15.9" x14ac:dyDescent="0.45">
      <c r="A81" s="32" t="s">
        <v>90</v>
      </c>
      <c r="B81" s="33">
        <v>0</v>
      </c>
      <c r="C81" s="33">
        <v>0</v>
      </c>
      <c r="D81" s="33">
        <f>Pets195214227299312364[[#This Row],[Projected 
cost]]-Pets195214227299312364[[#This Row],[Actual 
cost]]</f>
        <v>0</v>
      </c>
      <c r="E81" s="28"/>
      <c r="F81" s="32" t="s">
        <v>91</v>
      </c>
      <c r="G81" s="33">
        <v>0</v>
      </c>
      <c r="H81" s="33">
        <v>0</v>
      </c>
      <c r="I81" s="33">
        <f>Gifts193213226298311363[[#This Row],[Projected 
cost]]-Gifts193213226298311363[[#This Row],[Actual 
cost]]</f>
        <v>0</v>
      </c>
    </row>
    <row r="82" spans="1:10" ht="18.45" x14ac:dyDescent="0.45">
      <c r="A82" s="32" t="s">
        <v>92</v>
      </c>
      <c r="B82" s="33">
        <v>0</v>
      </c>
      <c r="C82" s="33">
        <v>0</v>
      </c>
      <c r="D82" s="33">
        <f>Pets195214227299312364[[#This Row],[Projected 
cost]]-Pets195214227299312364[[#This Row],[Actual 
cost]]</f>
        <v>0</v>
      </c>
      <c r="E82" s="28"/>
      <c r="F82" s="34" t="s">
        <v>64</v>
      </c>
      <c r="G82" s="35">
        <f>SUM(Gifts193213226298311363[Projected 
cost])</f>
        <v>0</v>
      </c>
      <c r="H82" s="35">
        <f>SUM(Gifts193213226298311363[Actual 
cost])</f>
        <v>0</v>
      </c>
      <c r="I82" s="36">
        <f>SUBTOTAL(109,Gifts193213226298311363[Difference])</f>
        <v>0</v>
      </c>
    </row>
    <row r="83" spans="1:10" ht="18.45" x14ac:dyDescent="0.45">
      <c r="A83" s="32" t="s">
        <v>61</v>
      </c>
      <c r="B83" s="33">
        <v>0</v>
      </c>
      <c r="C83" s="33">
        <v>0</v>
      </c>
      <c r="D83" s="33">
        <f>Pets195214227299312364[[#This Row],[Projected 
cost]]-Pets195214227299312364[[#This Row],[Actual 
cost]]</f>
        <v>0</v>
      </c>
      <c r="E83" s="28"/>
      <c r="F83" s="39"/>
      <c r="G83" s="46"/>
      <c r="H83" s="46"/>
      <c r="I83" s="33"/>
    </row>
    <row r="84" spans="1:10" ht="18.45" x14ac:dyDescent="0.45">
      <c r="A84" s="34" t="s">
        <v>64</v>
      </c>
      <c r="B84" s="51">
        <f>SUM(Pets195214227299312364[Projected 
cost])</f>
        <v>0</v>
      </c>
      <c r="C84" s="51">
        <f>SUM(Pets195214227299312364[Actual 
cost])</f>
        <v>0</v>
      </c>
      <c r="D84" s="51">
        <f>SUBTOTAL(109,Pets195214227299312364[Difference])</f>
        <v>0</v>
      </c>
      <c r="E84" s="28"/>
      <c r="F84" s="39"/>
      <c r="G84" s="46"/>
      <c r="H84" s="46"/>
      <c r="I84" s="33"/>
    </row>
    <row r="85" spans="1:10" ht="18.45" x14ac:dyDescent="0.45">
      <c r="A85" s="45"/>
      <c r="B85" s="52"/>
      <c r="C85" s="52"/>
      <c r="D85" s="52"/>
      <c r="E85" s="28"/>
      <c r="F85" s="53"/>
      <c r="G85" s="46"/>
      <c r="H85" s="46"/>
      <c r="I85" s="46"/>
    </row>
    <row r="86" spans="1:10" ht="26.15" x14ac:dyDescent="0.45">
      <c r="A86" s="75" t="s">
        <v>93</v>
      </c>
      <c r="B86" s="75"/>
      <c r="C86" s="75"/>
      <c r="D86" s="75"/>
      <c r="E86" s="40"/>
      <c r="F86" s="72" t="s">
        <v>61</v>
      </c>
      <c r="G86" s="72"/>
      <c r="H86" s="72"/>
      <c r="I86" s="72"/>
    </row>
    <row r="87" spans="1:10" ht="36.9" x14ac:dyDescent="0.45">
      <c r="A87" s="25" t="s">
        <v>43</v>
      </c>
      <c r="B87" s="29" t="s">
        <v>47</v>
      </c>
      <c r="C87" s="29" t="s">
        <v>45</v>
      </c>
      <c r="D87" s="30" t="s">
        <v>46</v>
      </c>
      <c r="E87" s="28"/>
      <c r="F87" s="25" t="s">
        <v>43</v>
      </c>
      <c r="G87" s="29" t="s">
        <v>47</v>
      </c>
      <c r="H87" s="29" t="s">
        <v>45</v>
      </c>
      <c r="I87" s="30" t="s">
        <v>46</v>
      </c>
    </row>
    <row r="88" spans="1:10" ht="15.9" x14ac:dyDescent="0.45">
      <c r="A88" s="32" t="s">
        <v>88</v>
      </c>
      <c r="B88" s="33">
        <v>0</v>
      </c>
      <c r="C88" s="33">
        <v>0</v>
      </c>
      <c r="D88" s="33">
        <f>PersonalCare197215228300313365[[#This Row],[Projected 
cost]]-PersonalCare197215228300313365[[#This Row],[Actual 
cost]]</f>
        <v>0</v>
      </c>
      <c r="E88" s="28"/>
      <c r="F88" s="32" t="s">
        <v>87</v>
      </c>
      <c r="G88" s="33">
        <v>0</v>
      </c>
      <c r="H88" s="33">
        <v>0</v>
      </c>
      <c r="I88" s="33">
        <f>Legal198216229301314366[[#This Row],[Projected 
cost]]-Legal198216229301314366[[#This Row],[Actual 
cost]]</f>
        <v>0</v>
      </c>
    </row>
    <row r="89" spans="1:10" ht="15.9" x14ac:dyDescent="0.45">
      <c r="A89" s="32" t="s">
        <v>94</v>
      </c>
      <c r="B89" s="33">
        <v>0</v>
      </c>
      <c r="C89" s="33">
        <v>0</v>
      </c>
      <c r="D89" s="33">
        <f>PersonalCare197215228300313365[[#This Row],[Projected 
cost]]-PersonalCare197215228300313365[[#This Row],[Actual 
cost]]</f>
        <v>0</v>
      </c>
      <c r="E89" s="28"/>
      <c r="F89" s="32" t="s">
        <v>89</v>
      </c>
      <c r="G89" s="33">
        <v>0</v>
      </c>
      <c r="H89" s="33">
        <v>0</v>
      </c>
      <c r="I89" s="33">
        <f>Legal198216229301314366[[#This Row],[Projected 
cost]]-Legal198216229301314366[[#This Row],[Actual 
cost]]</f>
        <v>0</v>
      </c>
    </row>
    <row r="90" spans="1:10" ht="15.9" x14ac:dyDescent="0.45">
      <c r="A90" s="32" t="s">
        <v>95</v>
      </c>
      <c r="B90" s="33">
        <v>0</v>
      </c>
      <c r="C90" s="33">
        <v>0</v>
      </c>
      <c r="D90" s="33">
        <f>PersonalCare197215228300313365[[#This Row],[Projected 
cost]]-PersonalCare197215228300313365[[#This Row],[Actual 
cost]]</f>
        <v>0</v>
      </c>
      <c r="E90" s="28"/>
      <c r="F90" s="32" t="s">
        <v>91</v>
      </c>
      <c r="G90" s="33">
        <v>0</v>
      </c>
      <c r="H90" s="33">
        <v>0</v>
      </c>
      <c r="I90" s="33">
        <f>Legal198216229301314366[[#This Row],[Projected 
cost]]-Legal198216229301314366[[#This Row],[Actual 
cost]]</f>
        <v>0</v>
      </c>
    </row>
    <row r="91" spans="1:10" ht="15.9" x14ac:dyDescent="0.45">
      <c r="A91" s="32" t="s">
        <v>96</v>
      </c>
      <c r="B91" s="33">
        <v>0</v>
      </c>
      <c r="C91" s="33">
        <v>0</v>
      </c>
      <c r="D91" s="33">
        <f>PersonalCare197215228300313365[[#This Row],[Projected 
cost]]-PersonalCare197215228300313365[[#This Row],[Actual 
cost]]</f>
        <v>0</v>
      </c>
      <c r="E91" s="28"/>
      <c r="F91" s="32" t="s">
        <v>97</v>
      </c>
      <c r="G91" s="33">
        <v>0</v>
      </c>
      <c r="H91" s="33">
        <v>0</v>
      </c>
      <c r="I91" s="33">
        <f>Legal198216229301314366[[#This Row],[Projected 
cost]]-Legal198216229301314366[[#This Row],[Actual 
cost]]</f>
        <v>0</v>
      </c>
    </row>
    <row r="92" spans="1:10" ht="18.45" x14ac:dyDescent="0.45">
      <c r="A92" s="32" t="s">
        <v>98</v>
      </c>
      <c r="B92" s="33">
        <v>0</v>
      </c>
      <c r="C92" s="33">
        <v>0</v>
      </c>
      <c r="D92" s="33">
        <f>PersonalCare197215228300313365[[#This Row],[Projected 
cost]]-PersonalCare197215228300313365[[#This Row],[Actual 
cost]]</f>
        <v>0</v>
      </c>
      <c r="E92" s="28"/>
      <c r="F92" s="34" t="s">
        <v>64</v>
      </c>
      <c r="G92" s="35">
        <f>SUM(Legal198216229301314366[Projected 
cost])</f>
        <v>0</v>
      </c>
      <c r="H92" s="35">
        <f>SUM(Legal198216229301314366[Actual 
cost])</f>
        <v>0</v>
      </c>
      <c r="I92" s="36">
        <f>SUBTOTAL(109,Legal198216229301314366[Difference])</f>
        <v>0</v>
      </c>
    </row>
    <row r="93" spans="1:10" ht="15.9" x14ac:dyDescent="0.45">
      <c r="A93" s="32" t="s">
        <v>99</v>
      </c>
      <c r="B93" s="33">
        <v>0</v>
      </c>
      <c r="C93" s="33">
        <v>0</v>
      </c>
      <c r="D93" s="33">
        <f>PersonalCare197215228300313365[[#This Row],[Projected 
cost]]-PersonalCare197215228300313365[[#This Row],[Actual 
cost]]</f>
        <v>0</v>
      </c>
      <c r="E93" s="28"/>
      <c r="F93" s="38"/>
      <c r="G93" s="38"/>
      <c r="H93" s="38"/>
      <c r="I93" s="38"/>
    </row>
    <row r="94" spans="1:10" ht="15.9" customHeight="1" x14ac:dyDescent="0.45">
      <c r="A94" s="32" t="s">
        <v>61</v>
      </c>
      <c r="B94" s="33">
        <v>0</v>
      </c>
      <c r="C94" s="33">
        <v>0</v>
      </c>
      <c r="D94" s="33">
        <f>PersonalCare197215228300313365[[#This Row],[Projected 
cost]]-PersonalCare197215228300313365[[#This Row],[Actual 
cost]]</f>
        <v>0</v>
      </c>
      <c r="E94" s="28"/>
      <c r="F94" s="67" t="s">
        <v>121</v>
      </c>
      <c r="G94" s="67"/>
      <c r="H94" s="67"/>
      <c r="I94" s="68">
        <f>J59</f>
        <v>0</v>
      </c>
      <c r="J94" s="69" t="s">
        <v>123</v>
      </c>
    </row>
    <row r="95" spans="1:10" ht="18.45" x14ac:dyDescent="0.45">
      <c r="A95" s="34" t="s">
        <v>64</v>
      </c>
      <c r="B95" s="35">
        <f>SUM(PersonalCare197215228300313365[Projected 
cost])</f>
        <v>0</v>
      </c>
      <c r="C95" s="35">
        <f>SUM(PersonalCare197215228300313365[Actual 
cost])</f>
        <v>0</v>
      </c>
      <c r="D95" s="36">
        <f>SUBTOTAL(109,PersonalCare197215228300313365[Difference])</f>
        <v>0</v>
      </c>
      <c r="E95" s="28"/>
      <c r="F95" s="67"/>
      <c r="G95" s="67"/>
      <c r="H95" s="67"/>
      <c r="I95" s="68"/>
      <c r="J95" s="69"/>
    </row>
    <row r="96" spans="1:10" ht="15.9" x14ac:dyDescent="0.45">
      <c r="A96" s="54"/>
      <c r="B96" s="54"/>
      <c r="C96" s="54"/>
      <c r="D96" s="54"/>
      <c r="E96" s="28"/>
      <c r="F96" s="76" t="s">
        <v>100</v>
      </c>
      <c r="G96" s="76"/>
      <c r="H96" s="76"/>
      <c r="I96" s="78">
        <f>SUBTOTAL(109,Housing179205218290303355[Projected
cost],Transportation183208221293306358[Projected 
cost],Insurance185209222294307359[Projected
cost],Food191212225297310362[Projected 
cost],Pets195214227299312364[Projected 
cost],PersonalCare197215228300313365[Projected 
cost],Entertainment180206219291304356[Projected 
cost],Loans182207220292305357[Projected 
cost],Taxes187210223295308360[Projected 
cost],Savings189211224296309361[Projected 
cost],Gifts193213226298311363[Projected 
cost],Legal198216229301314366[Projected 
cost])</f>
        <v>0</v>
      </c>
      <c r="J96" s="69"/>
    </row>
    <row r="97" spans="5:10" ht="15.9" x14ac:dyDescent="0.45">
      <c r="E97" s="28"/>
      <c r="F97" s="76"/>
      <c r="G97" s="76"/>
      <c r="H97" s="76"/>
      <c r="I97" s="78"/>
      <c r="J97" s="69"/>
    </row>
    <row r="98" spans="5:10" ht="15.9" x14ac:dyDescent="0.45">
      <c r="E98" s="28"/>
      <c r="F98" s="79" t="s">
        <v>101</v>
      </c>
      <c r="G98" s="79"/>
      <c r="H98" s="79"/>
      <c r="I98" s="80">
        <f>SUBTOTAL(109,Housing179205218290303355[Actual 
cost],Transportation183208221293306358[Actual 
cost],Insurance185209222294307359[Actual 
cost],Food191212225297310362[Actual 
cost],Pets195214227299312364[Actual 
cost],PersonalCare197215228300313365[Actual 
cost],Entertainment180206219291304356[Actual 
cost],Loans182207220292305357[Actual 
cost],Taxes187210223295308360[Actual 
cost],Savings189211224296309361[Actual 
cost],Gifts193213226298311363[Actual 
cost],Legal198216229301314366[Actual 
cost])</f>
        <v>0</v>
      </c>
    </row>
    <row r="99" spans="5:10" ht="15.9" x14ac:dyDescent="0.45">
      <c r="E99" s="28"/>
      <c r="F99" s="79"/>
      <c r="G99" s="79"/>
      <c r="H99" s="79"/>
      <c r="I99" s="80"/>
    </row>
    <row r="100" spans="5:10" x14ac:dyDescent="0.4">
      <c r="F100" s="81" t="s">
        <v>102</v>
      </c>
      <c r="G100" s="81"/>
      <c r="H100" s="81"/>
      <c r="I100" s="82">
        <f>I96-I98</f>
        <v>0</v>
      </c>
    </row>
    <row r="101" spans="5:10" x14ac:dyDescent="0.4">
      <c r="F101" s="81"/>
      <c r="G101" s="81"/>
      <c r="H101" s="81"/>
      <c r="I101" s="82"/>
    </row>
    <row r="102" spans="5:10" ht="14.7" customHeight="1" x14ac:dyDescent="0.4">
      <c r="F102" s="76" t="s">
        <v>103</v>
      </c>
      <c r="G102" s="76"/>
      <c r="H102" s="76"/>
      <c r="I102" s="77">
        <f>SUM(B34-I98)</f>
        <v>0</v>
      </c>
    </row>
    <row r="103" spans="5:10" ht="14.7" customHeight="1" x14ac:dyDescent="0.4">
      <c r="F103" s="76"/>
      <c r="G103" s="76"/>
      <c r="H103" s="76"/>
      <c r="I103" s="77"/>
    </row>
    <row r="123" spans="6:6" x14ac:dyDescent="0.4">
      <c r="F123" s="12" t="s">
        <v>104</v>
      </c>
    </row>
    <row r="139" spans="2:2" x14ac:dyDescent="0.4">
      <c r="B139" s="55"/>
    </row>
    <row r="140" spans="2:2" x14ac:dyDescent="0.4">
      <c r="B140" s="55"/>
    </row>
    <row r="141" spans="2:2" x14ac:dyDescent="0.4">
      <c r="B141" s="55"/>
    </row>
    <row r="142" spans="2:2" x14ac:dyDescent="0.4">
      <c r="B142" s="55"/>
    </row>
    <row r="143" spans="2:2" x14ac:dyDescent="0.4">
      <c r="B143" s="55"/>
    </row>
    <row r="144" spans="2:2" x14ac:dyDescent="0.4">
      <c r="B144" s="55"/>
    </row>
    <row r="145" spans="2:2" x14ac:dyDescent="0.4">
      <c r="B145" s="55"/>
    </row>
    <row r="146" spans="2:2" x14ac:dyDescent="0.4">
      <c r="B146" s="55"/>
    </row>
    <row r="147" spans="2:2" x14ac:dyDescent="0.4">
      <c r="B147" s="55"/>
    </row>
    <row r="148" spans="2:2" x14ac:dyDescent="0.4">
      <c r="B148" s="55"/>
    </row>
    <row r="149" spans="2:2" x14ac:dyDescent="0.4">
      <c r="B149" s="55"/>
    </row>
    <row r="150" spans="2:2" x14ac:dyDescent="0.4">
      <c r="B150" s="55"/>
    </row>
  </sheetData>
  <mergeCells count="23">
    <mergeCell ref="A31:B31"/>
    <mergeCell ref="A51:D51"/>
    <mergeCell ref="F51:I51"/>
    <mergeCell ref="F61:I61"/>
    <mergeCell ref="A62:D62"/>
    <mergeCell ref="F62:I62"/>
    <mergeCell ref="A70:D70"/>
    <mergeCell ref="F70:I70"/>
    <mergeCell ref="A77:D77"/>
    <mergeCell ref="F77:I77"/>
    <mergeCell ref="A86:D86"/>
    <mergeCell ref="F86:I86"/>
    <mergeCell ref="J94:J97"/>
    <mergeCell ref="F96:H97"/>
    <mergeCell ref="I96:I97"/>
    <mergeCell ref="F98:H99"/>
    <mergeCell ref="I98:I99"/>
    <mergeCell ref="F100:H101"/>
    <mergeCell ref="I100:I101"/>
    <mergeCell ref="F102:H103"/>
    <mergeCell ref="I102:I103"/>
    <mergeCell ref="F94:H95"/>
    <mergeCell ref="I94:I95"/>
  </mergeCells>
  <pageMargins left="0.7" right="0.7" top="0.75" bottom="0.75" header="0.3" footer="0.3"/>
  <drawing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3374E-5D5C-4A2C-BF6E-79948490123D}">
  <sheetPr>
    <tabColor rgb="FFC00000"/>
  </sheetPr>
  <dimension ref="B1:T65"/>
  <sheetViews>
    <sheetView topLeftCell="A13" zoomScale="62" workbookViewId="0">
      <selection activeCell="K65" sqref="K65"/>
    </sheetView>
  </sheetViews>
  <sheetFormatPr defaultRowHeight="15" customHeight="1" x14ac:dyDescent="0.4"/>
  <cols>
    <col min="2" max="2" width="15.3046875" customWidth="1"/>
    <col min="3" max="3" width="23.69140625" customWidth="1"/>
    <col min="4" max="4" width="22.07421875" customWidth="1"/>
    <col min="5" max="5" width="19.921875" customWidth="1"/>
    <col min="6" max="6" width="19.69140625" customWidth="1"/>
    <col min="7" max="7" width="18.921875" customWidth="1"/>
    <col min="21" max="21" width="24.15234375" customWidth="1"/>
  </cols>
  <sheetData>
    <row r="1" spans="2:20" ht="15" customHeight="1" x14ac:dyDescent="0.4">
      <c r="B1" s="85" t="s">
        <v>117</v>
      </c>
      <c r="C1" s="85"/>
    </row>
    <row r="2" spans="2:20" ht="15" customHeight="1" x14ac:dyDescent="0.4">
      <c r="B2" s="85"/>
      <c r="C2" s="85"/>
    </row>
    <row r="3" spans="2:20" ht="18.45" x14ac:dyDescent="0.5">
      <c r="B3" s="10" t="s">
        <v>110</v>
      </c>
      <c r="C3" s="10" t="s">
        <v>105</v>
      </c>
      <c r="D3" s="10" t="s">
        <v>106</v>
      </c>
      <c r="E3" s="58" t="s">
        <v>21</v>
      </c>
      <c r="F3" t="s">
        <v>124</v>
      </c>
      <c r="G3" s="83" t="s">
        <v>125</v>
      </c>
      <c r="H3" s="83"/>
      <c r="I3" s="83"/>
      <c r="J3" s="83"/>
      <c r="K3" s="83"/>
      <c r="L3" s="83"/>
      <c r="M3" s="83"/>
      <c r="N3" s="83"/>
      <c r="O3" s="83"/>
      <c r="P3" s="83"/>
      <c r="Q3" s="83"/>
      <c r="R3" s="83"/>
      <c r="S3" s="83"/>
      <c r="T3" s="83"/>
    </row>
    <row r="4" spans="2:20" ht="18.45" x14ac:dyDescent="0.5">
      <c r="B4" s="10" t="s">
        <v>118</v>
      </c>
      <c r="C4" s="57">
        <f>'December Budget'!J55</f>
        <v>0</v>
      </c>
      <c r="D4" s="42">
        <f>'December Budget'!H55</f>
        <v>0</v>
      </c>
      <c r="E4" s="59">
        <v>0</v>
      </c>
      <c r="F4" s="3" t="s">
        <v>107</v>
      </c>
      <c r="G4" s="60" t="s">
        <v>109</v>
      </c>
      <c r="H4" s="7"/>
      <c r="I4" s="7"/>
      <c r="J4" s="7"/>
      <c r="K4" s="7"/>
      <c r="L4" s="7"/>
      <c r="M4" s="7"/>
      <c r="N4" s="7"/>
      <c r="O4" s="7"/>
      <c r="P4" s="2"/>
      <c r="Q4" s="2"/>
      <c r="R4" s="2"/>
      <c r="S4" s="2"/>
      <c r="T4" s="2"/>
    </row>
    <row r="5" spans="2:20" ht="14.6" x14ac:dyDescent="0.4">
      <c r="B5" s="10"/>
      <c r="C5" s="57">
        <f>'December Budget'!J56</f>
        <v>0</v>
      </c>
      <c r="D5" s="42">
        <f>'December Budget'!H56</f>
        <v>0</v>
      </c>
      <c r="E5" s="59"/>
      <c r="F5" s="3" t="s">
        <v>108</v>
      </c>
    </row>
    <row r="6" spans="2:20" ht="14.6" x14ac:dyDescent="0.4">
      <c r="B6" s="10"/>
      <c r="C6" s="57">
        <f>'December Budget'!J57</f>
        <v>0</v>
      </c>
      <c r="D6" s="42">
        <f>'December Budget'!H57</f>
        <v>0</v>
      </c>
      <c r="E6" s="58"/>
    </row>
    <row r="7" spans="2:20" ht="15" customHeight="1" x14ac:dyDescent="0.4">
      <c r="B7" s="10"/>
      <c r="C7" s="10"/>
      <c r="D7" s="10"/>
      <c r="E7" s="58"/>
    </row>
    <row r="8" spans="2:20" ht="15" customHeight="1" x14ac:dyDescent="0.4">
      <c r="B8" s="10"/>
      <c r="C8" s="10"/>
      <c r="D8" s="10"/>
      <c r="E8" s="58"/>
    </row>
    <row r="9" spans="2:20" ht="15" customHeight="1" x14ac:dyDescent="0.4">
      <c r="B9" s="10"/>
      <c r="C9" s="10"/>
      <c r="D9" s="10"/>
      <c r="E9" s="58"/>
    </row>
    <row r="10" spans="2:20" ht="15" customHeight="1" x14ac:dyDescent="0.4">
      <c r="B10" s="10"/>
      <c r="C10" s="10"/>
      <c r="D10" s="10"/>
      <c r="E10" s="58"/>
    </row>
    <row r="11" spans="2:20" ht="15" customHeight="1" x14ac:dyDescent="0.4">
      <c r="B11" s="10"/>
      <c r="C11" s="10"/>
      <c r="D11" s="10"/>
      <c r="E11" s="58"/>
    </row>
    <row r="12" spans="2:20" ht="15" customHeight="1" x14ac:dyDescent="0.4">
      <c r="B12" s="10"/>
      <c r="C12" s="10"/>
      <c r="D12" s="10"/>
      <c r="E12" s="58"/>
    </row>
    <row r="13" spans="2:20" ht="15" customHeight="1" x14ac:dyDescent="0.4">
      <c r="B13" s="10"/>
      <c r="C13" s="10"/>
      <c r="D13" s="10"/>
      <c r="E13" s="58"/>
    </row>
    <row r="14" spans="2:20" ht="15" customHeight="1" x14ac:dyDescent="0.4">
      <c r="B14" s="10"/>
      <c r="C14" s="10"/>
      <c r="D14" s="10"/>
      <c r="E14" s="58"/>
    </row>
    <row r="15" spans="2:20" ht="15" customHeight="1" x14ac:dyDescent="0.4">
      <c r="B15" s="10"/>
      <c r="C15" s="10"/>
      <c r="D15" s="10"/>
      <c r="E15" s="58"/>
    </row>
    <row r="16" spans="2:20" ht="15" customHeight="1" x14ac:dyDescent="0.4">
      <c r="B16" s="10"/>
      <c r="C16" s="10"/>
      <c r="D16" s="10"/>
      <c r="E16" s="58"/>
    </row>
    <row r="17" spans="2:5" ht="15" customHeight="1" x14ac:dyDescent="0.4">
      <c r="B17" s="10"/>
      <c r="C17" s="10"/>
      <c r="D17" s="10"/>
      <c r="E17" s="58"/>
    </row>
    <row r="18" spans="2:5" ht="15" customHeight="1" x14ac:dyDescent="0.4">
      <c r="B18" s="10"/>
      <c r="C18" s="10"/>
      <c r="D18" s="10"/>
      <c r="E18" s="58"/>
    </row>
    <row r="19" spans="2:5" ht="15" customHeight="1" x14ac:dyDescent="0.4">
      <c r="B19" s="10"/>
      <c r="C19" s="10"/>
      <c r="D19" s="10"/>
      <c r="E19" s="58"/>
    </row>
    <row r="20" spans="2:5" ht="15" customHeight="1" x14ac:dyDescent="0.4">
      <c r="B20" s="10"/>
      <c r="C20" s="10"/>
      <c r="D20" s="10"/>
      <c r="E20" s="58"/>
    </row>
    <row r="21" spans="2:5" ht="15" customHeight="1" x14ac:dyDescent="0.4">
      <c r="B21" s="10"/>
      <c r="C21" s="10"/>
      <c r="D21" s="10"/>
      <c r="E21" s="58"/>
    </row>
    <row r="22" spans="2:5" ht="15" customHeight="1" x14ac:dyDescent="0.4">
      <c r="B22" s="10"/>
      <c r="C22" s="10"/>
      <c r="D22" s="10"/>
      <c r="E22" s="58"/>
    </row>
    <row r="23" spans="2:5" ht="15" customHeight="1" x14ac:dyDescent="0.4">
      <c r="B23" s="10"/>
      <c r="C23" s="10"/>
      <c r="D23" s="10"/>
      <c r="E23" s="58"/>
    </row>
    <row r="24" spans="2:5" ht="15" customHeight="1" x14ac:dyDescent="0.4">
      <c r="B24" s="10"/>
      <c r="C24" s="10"/>
      <c r="D24" s="10"/>
      <c r="E24" s="58"/>
    </row>
    <row r="25" spans="2:5" ht="15" customHeight="1" x14ac:dyDescent="0.4">
      <c r="B25" s="10"/>
      <c r="C25" s="10"/>
      <c r="D25" s="10"/>
      <c r="E25" s="58"/>
    </row>
    <row r="26" spans="2:5" ht="15" customHeight="1" x14ac:dyDescent="0.4">
      <c r="B26" s="10"/>
      <c r="C26" s="10"/>
      <c r="D26" s="10"/>
      <c r="E26" s="58"/>
    </row>
    <row r="27" spans="2:5" ht="15" customHeight="1" x14ac:dyDescent="0.4">
      <c r="B27" s="10"/>
      <c r="C27" s="10"/>
      <c r="D27" s="10"/>
      <c r="E27" s="58"/>
    </row>
    <row r="28" spans="2:5" ht="15" customHeight="1" x14ac:dyDescent="0.4">
      <c r="B28" s="10"/>
      <c r="C28" s="10"/>
      <c r="D28" s="10"/>
      <c r="E28" s="58"/>
    </row>
    <row r="29" spans="2:5" ht="15" customHeight="1" x14ac:dyDescent="0.4">
      <c r="B29" s="10"/>
      <c r="C29" s="10"/>
      <c r="D29" s="10"/>
      <c r="E29" s="58"/>
    </row>
    <row r="30" spans="2:5" ht="15" customHeight="1" x14ac:dyDescent="0.4">
      <c r="B30" s="10"/>
      <c r="C30" s="10"/>
      <c r="D30" s="10"/>
      <c r="E30" s="58"/>
    </row>
    <row r="31" spans="2:5" ht="15" customHeight="1" x14ac:dyDescent="0.4">
      <c r="B31" s="10"/>
      <c r="C31" s="10"/>
      <c r="D31" s="10"/>
      <c r="E31" s="58"/>
    </row>
    <row r="32" spans="2:5" ht="15" customHeight="1" x14ac:dyDescent="0.4">
      <c r="B32" s="10"/>
      <c r="C32" s="10"/>
      <c r="D32" s="10"/>
      <c r="E32" s="58"/>
    </row>
    <row r="33" spans="2:7" ht="15" customHeight="1" x14ac:dyDescent="0.4">
      <c r="B33" s="10"/>
      <c r="C33" s="10"/>
      <c r="D33" s="10"/>
      <c r="E33" s="58"/>
    </row>
    <row r="34" spans="2:7" ht="15" customHeight="1" x14ac:dyDescent="0.4">
      <c r="B34" s="10"/>
      <c r="C34" s="10"/>
      <c r="D34" s="10"/>
      <c r="E34" s="58"/>
    </row>
    <row r="35" spans="2:7" ht="15" customHeight="1" x14ac:dyDescent="0.4">
      <c r="B35" s="10"/>
      <c r="C35" s="10"/>
      <c r="D35" s="10"/>
      <c r="E35" s="58"/>
    </row>
    <row r="36" spans="2:7" ht="15" customHeight="1" x14ac:dyDescent="0.4">
      <c r="B36" s="10"/>
      <c r="C36" s="10"/>
      <c r="D36" s="10"/>
      <c r="E36" s="58"/>
    </row>
    <row r="37" spans="2:7" ht="15" customHeight="1" x14ac:dyDescent="0.4">
      <c r="B37" s="10"/>
      <c r="C37" s="10"/>
      <c r="D37" s="10"/>
      <c r="E37" s="58"/>
    </row>
    <row r="38" spans="2:7" ht="15" customHeight="1" x14ac:dyDescent="0.4">
      <c r="B38" s="10"/>
      <c r="C38" s="10"/>
      <c r="D38" s="10"/>
      <c r="E38" s="58"/>
    </row>
    <row r="39" spans="2:7" ht="15" customHeight="1" x14ac:dyDescent="0.4">
      <c r="B39" s="10"/>
      <c r="C39" s="10"/>
      <c r="D39" s="10"/>
      <c r="E39" s="58"/>
    </row>
    <row r="40" spans="2:7" ht="15" customHeight="1" x14ac:dyDescent="0.4">
      <c r="B40" s="10"/>
      <c r="C40" s="10"/>
      <c r="D40" s="10"/>
      <c r="E40" s="58"/>
    </row>
    <row r="42" spans="2:7" ht="15" customHeight="1" x14ac:dyDescent="0.4">
      <c r="B42" s="84" t="s">
        <v>114</v>
      </c>
      <c r="C42" s="84"/>
    </row>
    <row r="43" spans="2:7" ht="15" customHeight="1" x14ac:dyDescent="0.4">
      <c r="B43" s="84"/>
      <c r="C43" s="84"/>
    </row>
    <row r="44" spans="2:7" ht="15" customHeight="1" x14ac:dyDescent="0.4">
      <c r="B44" t="s">
        <v>115</v>
      </c>
      <c r="C44" t="s">
        <v>111</v>
      </c>
      <c r="D44" t="s">
        <v>113</v>
      </c>
      <c r="E44" t="s">
        <v>21</v>
      </c>
      <c r="F44" s="10" t="s">
        <v>106</v>
      </c>
      <c r="G44" t="s">
        <v>116</v>
      </c>
    </row>
    <row r="45" spans="2:7" ht="15" customHeight="1" x14ac:dyDescent="0.4">
      <c r="B45" t="s">
        <v>119</v>
      </c>
      <c r="C45" t="s">
        <v>69</v>
      </c>
      <c r="D45" s="10">
        <f>'December Budget'!J54</f>
        <v>0</v>
      </c>
      <c r="E45" s="9">
        <v>0</v>
      </c>
      <c r="F45" s="10">
        <f>'December Budget'!H54</f>
        <v>0</v>
      </c>
      <c r="G45" s="3" t="s">
        <v>112</v>
      </c>
    </row>
    <row r="46" spans="2:7" ht="15" customHeight="1" x14ac:dyDescent="0.4">
      <c r="C46" t="s">
        <v>67</v>
      </c>
      <c r="D46" s="10">
        <f>'December Budget'!J53</f>
        <v>0</v>
      </c>
      <c r="F46" s="10">
        <f>'December Budget'!H53</f>
        <v>0</v>
      </c>
    </row>
    <row r="47" spans="2:7" ht="15" customHeight="1" x14ac:dyDescent="0.4">
      <c r="D47" s="10"/>
      <c r="F47" s="10"/>
    </row>
    <row r="48" spans="2:7" ht="15" customHeight="1" x14ac:dyDescent="0.4">
      <c r="D48" s="10"/>
      <c r="F48" s="10"/>
    </row>
    <row r="49" spans="4:6" ht="15" customHeight="1" x14ac:dyDescent="0.4">
      <c r="D49" s="10"/>
      <c r="F49" s="10"/>
    </row>
    <row r="50" spans="4:6" ht="15" customHeight="1" x14ac:dyDescent="0.4">
      <c r="D50" s="10"/>
      <c r="F50" s="10"/>
    </row>
    <row r="51" spans="4:6" ht="15" customHeight="1" x14ac:dyDescent="0.4">
      <c r="D51" s="10"/>
      <c r="F51" s="10"/>
    </row>
    <row r="52" spans="4:6" ht="15" customHeight="1" x14ac:dyDescent="0.4">
      <c r="D52" s="10"/>
      <c r="F52" s="10"/>
    </row>
    <row r="53" spans="4:6" ht="15" customHeight="1" x14ac:dyDescent="0.4">
      <c r="D53" s="10"/>
      <c r="F53" s="10"/>
    </row>
    <row r="54" spans="4:6" ht="15" customHeight="1" x14ac:dyDescent="0.4">
      <c r="D54" s="10"/>
      <c r="F54" s="10"/>
    </row>
    <row r="55" spans="4:6" ht="15" customHeight="1" x14ac:dyDescent="0.4">
      <c r="D55" s="10"/>
      <c r="F55" s="10"/>
    </row>
    <row r="56" spans="4:6" ht="15" customHeight="1" x14ac:dyDescent="0.4">
      <c r="D56" s="10"/>
      <c r="F56" s="10"/>
    </row>
    <row r="57" spans="4:6" ht="15" customHeight="1" x14ac:dyDescent="0.4">
      <c r="D57" s="10"/>
      <c r="F57" s="10"/>
    </row>
    <row r="58" spans="4:6" ht="15" customHeight="1" x14ac:dyDescent="0.4">
      <c r="D58" s="10"/>
      <c r="F58" s="10"/>
    </row>
    <row r="59" spans="4:6" ht="15" customHeight="1" x14ac:dyDescent="0.4">
      <c r="D59" s="10"/>
      <c r="F59" s="10"/>
    </row>
    <row r="60" spans="4:6" ht="15" customHeight="1" x14ac:dyDescent="0.4">
      <c r="D60" s="10"/>
      <c r="F60" s="10"/>
    </row>
    <row r="61" spans="4:6" ht="15" customHeight="1" x14ac:dyDescent="0.4">
      <c r="D61" s="10"/>
      <c r="F61" s="10"/>
    </row>
    <row r="62" spans="4:6" ht="15" customHeight="1" x14ac:dyDescent="0.4">
      <c r="D62" s="10"/>
      <c r="F62" s="10"/>
    </row>
    <row r="63" spans="4:6" ht="15" customHeight="1" x14ac:dyDescent="0.4">
      <c r="D63" s="10"/>
      <c r="F63" s="10"/>
    </row>
    <row r="64" spans="4:6" ht="15" customHeight="1" x14ac:dyDescent="0.4">
      <c r="D64" s="10"/>
      <c r="F64" s="10"/>
    </row>
    <row r="65" spans="4:6" ht="15" customHeight="1" x14ac:dyDescent="0.4">
      <c r="D65" s="10"/>
      <c r="F65" s="10"/>
    </row>
  </sheetData>
  <mergeCells count="3">
    <mergeCell ref="B1:C2"/>
    <mergeCell ref="G3:T3"/>
    <mergeCell ref="B42:C43"/>
  </mergeCells>
  <hyperlinks>
    <hyperlink ref="G45" r:id="rId1" xr:uid="{72635EA5-585F-497B-9BBE-4DCCF09078C1}"/>
    <hyperlink ref="F4" r:id="rId2" xr:uid="{CC62FF48-E589-40B1-B529-C3FEDDE83452}"/>
    <hyperlink ref="F5" r:id="rId3" xr:uid="{ECC45C93-2940-42B8-BF72-EB7E0C995B1C}"/>
  </hyperlinks>
  <pageMargins left="0.7" right="0.7" top="0.75" bottom="0.75" header="0.3" footer="0.3"/>
  <drawing r:id="rId4"/>
  <tableParts count="4">
    <tablePart r:id="rId5"/>
    <tablePart r:id="rId6"/>
    <tablePart r:id="rId7"/>
    <tablePart r:id="rId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Financial Literacy</vt:lpstr>
      <vt:lpstr>Budget Example</vt:lpstr>
      <vt:lpstr> Debt Repayment Example</vt:lpstr>
      <vt:lpstr>January Budget</vt:lpstr>
      <vt:lpstr>January Debt Repayment</vt:lpstr>
      <vt:lpstr>February Budget</vt:lpstr>
      <vt:lpstr>Februay Debt Repayment</vt:lpstr>
      <vt:lpstr>March Budget</vt:lpstr>
      <vt:lpstr>March Debt Repayment</vt:lpstr>
      <vt:lpstr>April Budget</vt:lpstr>
      <vt:lpstr>April Debt Repayment</vt:lpstr>
      <vt:lpstr>May Budget</vt:lpstr>
      <vt:lpstr>May Debt Repayment</vt:lpstr>
      <vt:lpstr>June Budget</vt:lpstr>
      <vt:lpstr>June Debt Repayment</vt:lpstr>
      <vt:lpstr>July Budget</vt:lpstr>
      <vt:lpstr>July Debt Repayment</vt:lpstr>
      <vt:lpstr>August Budget</vt:lpstr>
      <vt:lpstr>August Debt Repayment</vt:lpstr>
      <vt:lpstr>September Budget</vt:lpstr>
      <vt:lpstr>October Budget</vt:lpstr>
      <vt:lpstr>October Debt Repayment</vt:lpstr>
      <vt:lpstr>November Budget</vt:lpstr>
      <vt:lpstr>November Debt Repayment </vt:lpstr>
      <vt:lpstr>December Budget</vt:lpstr>
      <vt:lpstr>December Debt Repayment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Yuceiry Arias</dc:creator>
  <cp:keywords/>
  <dc:description/>
  <cp:lastModifiedBy>Yuceiry Arias</cp:lastModifiedBy>
  <cp:revision/>
  <dcterms:created xsi:type="dcterms:W3CDTF">2023-07-31T22:50:03Z</dcterms:created>
  <dcterms:modified xsi:type="dcterms:W3CDTF">2024-04-12T19:55:25Z</dcterms:modified>
  <cp:category/>
  <cp:contentStatus/>
</cp:coreProperties>
</file>